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kret\Videos\Desktop\бюджет 2023-2025годы\материалы к проекту бюджета\"/>
    </mc:Choice>
  </mc:AlternateContent>
  <bookViews>
    <workbookView xWindow="120" yWindow="300" windowWidth="9720" windowHeight="7140" activeTab="1"/>
  </bookViews>
  <sheets>
    <sheet name="86 индекс бюдж-ых расходов" sheetId="1" r:id="rId1"/>
    <sheet name="84 расчет дотации" sheetId="23" r:id="rId2"/>
    <sheet name="88 удельный вес расходов" sheetId="13" r:id="rId3"/>
    <sheet name="89  коэф. на удорож стои ЖКУ" sheetId="15" r:id="rId4"/>
    <sheet name="90 Коэф. дифферен-ии зар. пла" sheetId="2" r:id="rId5"/>
    <sheet name="91 коэф. на дисперстность" sheetId="14" r:id="rId6"/>
    <sheet name="92 сред взв коэ на диферен з.п" sheetId="16" r:id="rId7"/>
    <sheet name="93 коэф. транспортной доступ" sheetId="18" r:id="rId8"/>
    <sheet name="94 коэф урбанизации" sheetId="20" r:id="rId9"/>
    <sheet name="95 коэф. благоустройства" sheetId="21" r:id="rId10"/>
    <sheet name="96 структ жил фонда" sheetId="17" r:id="rId11"/>
    <sheet name="97 .коэф. концентр населения" sheetId="3" r:id="rId12"/>
    <sheet name="Лист1" sheetId="24" r:id="rId13"/>
  </sheets>
  <definedNames>
    <definedName name="_xlnm.Print_Titles" localSheetId="1">'84 расчет дотации'!$A:$A</definedName>
    <definedName name="_xlnm.Print_Titles" localSheetId="0">'86 индекс бюдж-ых расходов'!$A:$A</definedName>
    <definedName name="_xlnm.Print_Area" localSheetId="1">'84 расчет дотации'!$A$1:$Z$14</definedName>
    <definedName name="_xlnm.Print_Area" localSheetId="0">'86 индекс бюдж-ых расходов'!$A$1:$Y$13</definedName>
    <definedName name="_xlnm.Print_Area" localSheetId="2">'88 удельный вес расходов'!$A$1:$O$12</definedName>
    <definedName name="_xlnm.Print_Area" localSheetId="3">'89  коэф. на удорож стои ЖКУ'!$A$1:$C$15</definedName>
    <definedName name="_xlnm.Print_Area" localSheetId="6">'92 сред взв коэ на диферен з.п'!$A$1:$G$18</definedName>
    <definedName name="_xlnm.Print_Area" localSheetId="7">'93 коэф. транспортной доступ'!$A$1:$H$17</definedName>
    <definedName name="_xlnm.Print_Area" localSheetId="10">'96 структ жил фонда'!$A$1:$F$20</definedName>
    <definedName name="_xlnm.Print_Area" localSheetId="11">'97 .коэф. концентр населения'!$A$1:$D$14</definedName>
  </definedNames>
  <calcPr calcId="152511"/>
</workbook>
</file>

<file path=xl/calcChain.xml><?xml version="1.0" encoding="utf-8"?>
<calcChain xmlns="http://schemas.openxmlformats.org/spreadsheetml/2006/main">
  <c r="M14" i="23" l="1"/>
  <c r="C13" i="23" l="1"/>
  <c r="C12" i="23"/>
  <c r="C11" i="23"/>
  <c r="C10" i="23"/>
  <c r="C9" i="23"/>
  <c r="C8" i="23"/>
  <c r="N7" i="1" l="1"/>
  <c r="F7" i="1"/>
  <c r="G8" i="2"/>
  <c r="G7" i="2"/>
  <c r="AC8" i="23" l="1"/>
  <c r="AC13" i="23"/>
  <c r="AC12" i="23"/>
  <c r="AC11" i="23"/>
  <c r="AC14" i="23" s="1"/>
  <c r="AC10" i="23"/>
  <c r="AC9" i="23"/>
  <c r="C20" i="23" l="1"/>
  <c r="C22" i="23"/>
  <c r="C33" i="23" s="1"/>
  <c r="C30" i="23"/>
  <c r="C32" i="23" s="1"/>
  <c r="AB11" i="23"/>
  <c r="H21" i="23"/>
  <c r="AB13" i="23"/>
  <c r="AB12" i="23"/>
  <c r="AB10" i="23"/>
  <c r="AB9" i="23"/>
  <c r="AB8" i="23"/>
  <c r="G30" i="23"/>
  <c r="F30" i="23"/>
  <c r="B30" i="23"/>
  <c r="H28" i="23"/>
  <c r="H27" i="23"/>
  <c r="H26" i="23"/>
  <c r="H25" i="23"/>
  <c r="H24" i="23"/>
  <c r="H23" i="23"/>
  <c r="G22" i="23"/>
  <c r="AA13" i="23" s="1"/>
  <c r="F22" i="23"/>
  <c r="AA12" i="23" s="1"/>
  <c r="E22" i="23"/>
  <c r="E30" i="23" s="1"/>
  <c r="D22" i="23"/>
  <c r="AA10" i="23" s="1"/>
  <c r="B22" i="23"/>
  <c r="AA8" i="23" s="1"/>
  <c r="B32" i="23"/>
  <c r="AA9" i="23" l="1"/>
  <c r="AF8" i="23"/>
  <c r="D30" i="23"/>
  <c r="AA11" i="23"/>
  <c r="H22" i="23"/>
  <c r="R14" i="23"/>
  <c r="H31" i="23" l="1"/>
  <c r="H30" i="23"/>
  <c r="H29" i="23"/>
  <c r="F32" i="23"/>
  <c r="E32" i="23"/>
  <c r="D32" i="23"/>
  <c r="G32" i="23"/>
  <c r="H32" i="23" l="1"/>
  <c r="I34" i="23"/>
  <c r="H19" i="23"/>
  <c r="G33" i="23"/>
  <c r="F33" i="23"/>
  <c r="E33" i="23"/>
  <c r="D33" i="23"/>
  <c r="B33" i="23"/>
  <c r="G20" i="23"/>
  <c r="F20" i="23"/>
  <c r="E20" i="23"/>
  <c r="D20" i="23"/>
  <c r="B20" i="23"/>
  <c r="H33" i="23" l="1"/>
  <c r="G13" i="23"/>
  <c r="G12" i="23"/>
  <c r="G11" i="23"/>
  <c r="G10" i="23"/>
  <c r="G9" i="23"/>
  <c r="G8" i="23"/>
  <c r="H18" i="23"/>
  <c r="H17" i="23"/>
  <c r="H20" i="23" l="1"/>
  <c r="AB14" i="23"/>
  <c r="AA14" i="23"/>
  <c r="G14" i="23"/>
  <c r="B14" i="23"/>
  <c r="AF13" i="23"/>
  <c r="AF12" i="23"/>
  <c r="AF11" i="23"/>
  <c r="AF10" i="23"/>
  <c r="AF9" i="23"/>
  <c r="AF14" i="23" l="1"/>
  <c r="M10" i="13" l="1"/>
  <c r="C10" i="15" l="1"/>
  <c r="C9" i="15"/>
  <c r="C8" i="15"/>
  <c r="C7" i="15"/>
  <c r="C6" i="15"/>
  <c r="K10" i="13" l="1"/>
  <c r="O8" i="13" l="1"/>
  <c r="D8" i="13" s="1"/>
  <c r="O7" i="13"/>
  <c r="O6" i="13"/>
  <c r="O5" i="13"/>
  <c r="I10" i="13"/>
  <c r="G10" i="13"/>
  <c r="O9" i="13"/>
  <c r="E10" i="13"/>
  <c r="C10" i="13"/>
  <c r="L7" i="13"/>
  <c r="O4" i="13"/>
  <c r="F9" i="13" l="1"/>
  <c r="H9" i="13"/>
  <c r="F7" i="13"/>
  <c r="J7" i="13"/>
  <c r="J5" i="13"/>
  <c r="H5" i="13"/>
  <c r="L5" i="13"/>
  <c r="H8" i="13"/>
  <c r="B8" i="13"/>
  <c r="F8" i="13"/>
  <c r="D7" i="13"/>
  <c r="J6" i="13"/>
  <c r="H6" i="13"/>
  <c r="F6" i="13"/>
  <c r="L8" i="13"/>
  <c r="B7" i="13"/>
  <c r="H7" i="13"/>
  <c r="L6" i="13"/>
  <c r="D6" i="13"/>
  <c r="B5" i="13"/>
  <c r="F5" i="13"/>
  <c r="B9" i="13"/>
  <c r="O10" i="13"/>
  <c r="L9" i="13"/>
  <c r="D9" i="13"/>
  <c r="J4" i="13"/>
  <c r="F4" i="13"/>
  <c r="B4" i="13"/>
  <c r="L4" i="13"/>
  <c r="H4" i="13"/>
  <c r="B10" i="13" l="1"/>
  <c r="L10" i="13"/>
  <c r="N5" i="13"/>
  <c r="N7" i="13"/>
  <c r="N8" i="13"/>
  <c r="N6" i="13"/>
  <c r="H10" i="13"/>
  <c r="F10" i="13"/>
  <c r="D10" i="13"/>
  <c r="N9" i="13"/>
  <c r="N4" i="13"/>
  <c r="N10" i="13" l="1"/>
  <c r="D11" i="14"/>
  <c r="D10" i="14"/>
  <c r="B11" i="21" l="1"/>
  <c r="S13" i="1" l="1"/>
  <c r="M13" i="1" l="1"/>
  <c r="H13" i="1"/>
  <c r="C13" i="1"/>
  <c r="P13" i="1"/>
  <c r="F11" i="21"/>
  <c r="G10" i="21" s="1"/>
  <c r="D11" i="21"/>
  <c r="E9" i="21" s="1"/>
  <c r="C10" i="21"/>
  <c r="C12" i="20"/>
  <c r="B12" i="20"/>
  <c r="D11" i="20"/>
  <c r="E11" i="20" s="1"/>
  <c r="J12" i="1" s="1"/>
  <c r="D10" i="20"/>
  <c r="E10" i="20" s="1"/>
  <c r="W11" i="1" s="1"/>
  <c r="D9" i="20"/>
  <c r="E9" i="20" s="1"/>
  <c r="J10" i="1" s="1"/>
  <c r="D8" i="20"/>
  <c r="E8" i="20" s="1"/>
  <c r="W9" i="1" s="1"/>
  <c r="D7" i="20"/>
  <c r="E7" i="20" s="1"/>
  <c r="J8" i="1" s="1"/>
  <c r="D6" i="20"/>
  <c r="E6" i="20" s="1"/>
  <c r="W7" i="1" s="1"/>
  <c r="F12" i="18"/>
  <c r="B9" i="18"/>
  <c r="B7" i="18"/>
  <c r="B6" i="18"/>
  <c r="E10" i="21" l="1"/>
  <c r="H10" i="21" s="1"/>
  <c r="P12" i="1" s="1"/>
  <c r="E6" i="21"/>
  <c r="E7" i="21"/>
  <c r="E8" i="21"/>
  <c r="E5" i="21"/>
  <c r="W10" i="1"/>
  <c r="W8" i="1"/>
  <c r="W12" i="1"/>
  <c r="G5" i="21"/>
  <c r="G6" i="21"/>
  <c r="G7" i="21"/>
  <c r="G8" i="21"/>
  <c r="G9" i="21"/>
  <c r="C5" i="21"/>
  <c r="C7" i="21"/>
  <c r="C9" i="21"/>
  <c r="C6" i="21"/>
  <c r="C8" i="21"/>
  <c r="J7" i="1"/>
  <c r="J9" i="1"/>
  <c r="J11" i="1"/>
  <c r="D12" i="20"/>
  <c r="E12" i="20" s="1"/>
  <c r="I11" i="18"/>
  <c r="I10" i="18"/>
  <c r="I9" i="18"/>
  <c r="I8" i="18"/>
  <c r="I7" i="18"/>
  <c r="I6" i="18"/>
  <c r="J6" i="18" s="1"/>
  <c r="H12" i="18"/>
  <c r="E13" i="1" s="1"/>
  <c r="E12" i="18"/>
  <c r="G6" i="18" s="1"/>
  <c r="C12" i="18"/>
  <c r="B12" i="18" s="1"/>
  <c r="G11" i="18"/>
  <c r="G10" i="18"/>
  <c r="G9" i="18"/>
  <c r="G8" i="18"/>
  <c r="H6" i="21" l="1"/>
  <c r="P8" i="1" s="1"/>
  <c r="H9" i="21"/>
  <c r="P11" i="1" s="1"/>
  <c r="H5" i="21"/>
  <c r="P7" i="1" s="1"/>
  <c r="D6" i="18"/>
  <c r="I12" i="18"/>
  <c r="H8" i="21"/>
  <c r="P10" i="1" s="1"/>
  <c r="H7" i="21"/>
  <c r="P9" i="1" s="1"/>
  <c r="W13" i="1"/>
  <c r="J13" i="1"/>
  <c r="H6" i="18"/>
  <c r="E7" i="1" s="1"/>
  <c r="G7" i="18"/>
  <c r="D8" i="18"/>
  <c r="H8" i="18" s="1"/>
  <c r="E9" i="1" s="1"/>
  <c r="D9" i="18"/>
  <c r="H9" i="18" s="1"/>
  <c r="E10" i="1" s="1"/>
  <c r="D10" i="18"/>
  <c r="H10" i="18" s="1"/>
  <c r="E11" i="1" s="1"/>
  <c r="D11" i="18"/>
  <c r="H11" i="18" s="1"/>
  <c r="E12" i="1" s="1"/>
  <c r="D7" i="18"/>
  <c r="C14" i="17"/>
  <c r="B14" i="17"/>
  <c r="D10" i="17"/>
  <c r="D9" i="17"/>
  <c r="E13" i="16"/>
  <c r="B13" i="16"/>
  <c r="F13" i="16" s="1"/>
  <c r="E12" i="16"/>
  <c r="E11" i="16"/>
  <c r="E10" i="16"/>
  <c r="E9" i="16"/>
  <c r="E8" i="16"/>
  <c r="E7" i="16"/>
  <c r="C11" i="15"/>
  <c r="C12" i="14"/>
  <c r="B12" i="14"/>
  <c r="E11" i="14"/>
  <c r="G12" i="2" s="1"/>
  <c r="E10" i="14"/>
  <c r="G11" i="2" s="1"/>
  <c r="D9" i="14"/>
  <c r="E9" i="14" s="1"/>
  <c r="G10" i="2" s="1"/>
  <c r="D8" i="14"/>
  <c r="E8" i="14" s="1"/>
  <c r="G9" i="2" s="1"/>
  <c r="D7" i="14"/>
  <c r="E7" i="14" s="1"/>
  <c r="D6" i="14"/>
  <c r="E6" i="14" s="1"/>
  <c r="D14" i="17" l="1"/>
  <c r="E14" i="17"/>
  <c r="F9" i="17" s="1"/>
  <c r="S8" i="1" s="1"/>
  <c r="F7" i="16"/>
  <c r="G7" i="16" s="1"/>
  <c r="F8" i="16"/>
  <c r="G8" i="16" s="1"/>
  <c r="F9" i="16"/>
  <c r="G9" i="16" s="1"/>
  <c r="F10" i="16"/>
  <c r="G10" i="16" s="1"/>
  <c r="F11" i="16"/>
  <c r="G11" i="16" s="1"/>
  <c r="F12" i="16"/>
  <c r="G12" i="16" s="1"/>
  <c r="D12" i="14"/>
  <c r="E12" i="14" s="1"/>
  <c r="G13" i="2" s="1"/>
  <c r="M10" i="1"/>
  <c r="H10" i="1"/>
  <c r="C10" i="1"/>
  <c r="M7" i="1"/>
  <c r="H7" i="1"/>
  <c r="C7" i="1"/>
  <c r="M9" i="1"/>
  <c r="H9" i="1"/>
  <c r="C9" i="1"/>
  <c r="M11" i="1"/>
  <c r="H11" i="1"/>
  <c r="C11" i="1"/>
  <c r="M8" i="1"/>
  <c r="H8" i="1"/>
  <c r="C8" i="1"/>
  <c r="M12" i="1"/>
  <c r="C12" i="1"/>
  <c r="H12" i="1"/>
  <c r="H7" i="18"/>
  <c r="E8" i="1" s="1"/>
  <c r="F12" i="17" l="1"/>
  <c r="S11" i="1" s="1"/>
  <c r="F11" i="17"/>
  <c r="S10" i="1" s="1"/>
  <c r="F8" i="17"/>
  <c r="S7" i="1" s="1"/>
  <c r="F10" i="17"/>
  <c r="S9" i="1" s="1"/>
  <c r="F13" i="17"/>
  <c r="S12" i="1" s="1"/>
  <c r="G13" i="16"/>
  <c r="D13" i="3" l="1"/>
  <c r="D8" i="3"/>
  <c r="R7" i="1" l="1"/>
  <c r="U12" i="1"/>
  <c r="U11" i="1"/>
  <c r="R10" i="1"/>
  <c r="R9" i="1"/>
  <c r="U8" i="1"/>
  <c r="R13" i="1" l="1"/>
  <c r="L7" i="1"/>
  <c r="G7" i="1"/>
  <c r="O7" i="1"/>
  <c r="U7" i="1"/>
  <c r="B7" i="1"/>
  <c r="B8" i="1"/>
  <c r="L8" i="1"/>
  <c r="R8" i="1"/>
  <c r="G9" i="1"/>
  <c r="O9" i="1"/>
  <c r="U9" i="1"/>
  <c r="G10" i="1"/>
  <c r="O10" i="1"/>
  <c r="U10" i="1"/>
  <c r="B11" i="1"/>
  <c r="L11" i="1"/>
  <c r="N11" i="1" s="1"/>
  <c r="R11" i="1"/>
  <c r="T11" i="1" s="1"/>
  <c r="B12" i="1"/>
  <c r="L12" i="1"/>
  <c r="N12" i="1" s="1"/>
  <c r="R12" i="1"/>
  <c r="T12" i="1" s="1"/>
  <c r="G8" i="1"/>
  <c r="O8" i="1"/>
  <c r="B9" i="1"/>
  <c r="L9" i="1"/>
  <c r="B10" i="1"/>
  <c r="L10" i="1"/>
  <c r="G11" i="1"/>
  <c r="O11" i="1"/>
  <c r="G12" i="1"/>
  <c r="O12" i="1"/>
  <c r="U13" i="1" l="1"/>
  <c r="L13" i="1"/>
  <c r="O13" i="1"/>
  <c r="G13" i="1"/>
  <c r="B13" i="1"/>
  <c r="V12" i="1" l="1"/>
  <c r="V7" i="1"/>
  <c r="T13" i="1"/>
  <c r="T10" i="1"/>
  <c r="T9" i="1"/>
  <c r="T8" i="1"/>
  <c r="T7" i="1"/>
  <c r="Q13" i="1"/>
  <c r="N13" i="1"/>
  <c r="N10" i="1"/>
  <c r="N9" i="1"/>
  <c r="N8" i="1"/>
  <c r="F13" i="2"/>
  <c r="H13" i="2" s="1"/>
  <c r="C14" i="3"/>
  <c r="B14" i="3"/>
  <c r="D12" i="3"/>
  <c r="V11" i="1" s="1"/>
  <c r="D11" i="3"/>
  <c r="V10" i="1" s="1"/>
  <c r="D10" i="3"/>
  <c r="V9" i="1" s="1"/>
  <c r="D9" i="3"/>
  <c r="V8" i="1" s="1"/>
  <c r="Q7" i="1" l="1"/>
  <c r="D14" i="3"/>
  <c r="V13" i="1" s="1"/>
  <c r="X9" i="1"/>
  <c r="X11" i="1"/>
  <c r="X8" i="1"/>
  <c r="X12" i="1"/>
  <c r="X7" i="1"/>
  <c r="X10" i="1"/>
  <c r="B13" i="2"/>
  <c r="C11" i="2" s="1"/>
  <c r="F12" i="2"/>
  <c r="H12" i="2" s="1"/>
  <c r="I12" i="1" s="1"/>
  <c r="F11" i="2"/>
  <c r="H11" i="2" s="1"/>
  <c r="D11" i="1" s="1"/>
  <c r="F8" i="2"/>
  <c r="H8" i="2" s="1"/>
  <c r="I8" i="1" s="1"/>
  <c r="F7" i="2"/>
  <c r="H7" i="2" s="1"/>
  <c r="D7" i="1" s="1"/>
  <c r="D12" i="1" l="1"/>
  <c r="I11" i="1"/>
  <c r="I7" i="1"/>
  <c r="D8" i="1"/>
  <c r="Q12" i="1"/>
  <c r="I13" i="1"/>
  <c r="D13" i="1"/>
  <c r="Q10" i="1"/>
  <c r="Q11" i="1"/>
  <c r="Q8" i="1"/>
  <c r="Q9" i="1"/>
  <c r="X13" i="1"/>
  <c r="F9" i="2"/>
  <c r="H9" i="2" s="1"/>
  <c r="F10" i="2"/>
  <c r="H10" i="2" s="1"/>
  <c r="C8" i="2"/>
  <c r="C10" i="2"/>
  <c r="C12" i="2"/>
  <c r="C7" i="2"/>
  <c r="C9" i="2"/>
  <c r="I9" i="1" l="1"/>
  <c r="D9" i="1"/>
  <c r="I10" i="1"/>
  <c r="D10" i="1"/>
  <c r="C13" i="2"/>
  <c r="F11" i="1" l="1"/>
  <c r="K11" i="1"/>
  <c r="F10" i="1"/>
  <c r="K10" i="1"/>
  <c r="F12" i="1"/>
  <c r="K12" i="1"/>
  <c r="K13" i="1"/>
  <c r="F13" i="1"/>
  <c r="K7" i="1"/>
  <c r="F9" i="1"/>
  <c r="K9" i="1"/>
  <c r="F8" i="1"/>
  <c r="K8" i="1"/>
  <c r="Y13" i="1" l="1"/>
  <c r="J14" i="23" s="1"/>
  <c r="Y8" i="1"/>
  <c r="J9" i="23" s="1"/>
  <c r="Y9" i="1"/>
  <c r="J10" i="23" s="1"/>
  <c r="Y7" i="1"/>
  <c r="J8" i="23" s="1"/>
  <c r="Y12" i="1"/>
  <c r="J13" i="23" s="1"/>
  <c r="Y10" i="1"/>
  <c r="J11" i="23" s="1"/>
  <c r="Y11" i="1"/>
  <c r="J12" i="23" s="1"/>
  <c r="H12" i="23" l="1"/>
  <c r="H10" i="23"/>
  <c r="H11" i="23"/>
  <c r="H9" i="23"/>
  <c r="H13" i="23"/>
  <c r="H8" i="23"/>
  <c r="C14" i="23" l="1"/>
  <c r="E14" i="23" s="1"/>
  <c r="F11" i="23" s="1"/>
  <c r="F12" i="23" l="1"/>
  <c r="F13" i="23"/>
  <c r="F8" i="23"/>
  <c r="F10" i="23"/>
  <c r="F9" i="23"/>
  <c r="H14" i="23"/>
  <c r="I9" i="23" s="1"/>
  <c r="K9" i="23" s="1"/>
  <c r="S9" i="23" l="1"/>
  <c r="O9" i="23"/>
  <c r="P9" i="23" s="1"/>
  <c r="I12" i="23"/>
  <c r="K12" i="23" s="1"/>
  <c r="S12" i="23" s="1"/>
  <c r="F14" i="23"/>
  <c r="I13" i="23"/>
  <c r="K13" i="23" s="1"/>
  <c r="V9" i="23"/>
  <c r="I11" i="23"/>
  <c r="K11" i="23" s="1"/>
  <c r="S11" i="23" s="1"/>
  <c r="I8" i="23"/>
  <c r="K8" i="23" s="1"/>
  <c r="I10" i="23"/>
  <c r="K10" i="23" s="1"/>
  <c r="S8" i="23" l="1"/>
  <c r="O8" i="23"/>
  <c r="P8" i="23" s="1"/>
  <c r="S10" i="23"/>
  <c r="O10" i="23"/>
  <c r="P10" i="23" s="1"/>
  <c r="O12" i="23"/>
  <c r="P12" i="23" s="1"/>
  <c r="V12" i="23"/>
  <c r="V8" i="23"/>
  <c r="V11" i="23"/>
  <c r="V10" i="23"/>
  <c r="O11" i="23"/>
  <c r="P11" i="23" s="1"/>
  <c r="S13" i="23"/>
  <c r="V13" i="23"/>
  <c r="O13" i="23"/>
  <c r="P13" i="23" s="1"/>
  <c r="S14" i="23" l="1"/>
  <c r="T13" i="23" s="1"/>
  <c r="P14" i="23"/>
  <c r="Q8" i="23" s="1"/>
  <c r="T11" i="23" l="1"/>
  <c r="T10" i="23"/>
  <c r="D35" i="23" s="1"/>
  <c r="T9" i="23"/>
  <c r="T12" i="23"/>
  <c r="T8" i="23"/>
  <c r="U8" i="23" s="1"/>
  <c r="X8" i="23" s="1"/>
  <c r="Q11" i="23"/>
  <c r="Q10" i="23"/>
  <c r="Q9" i="23"/>
  <c r="Q13" i="23"/>
  <c r="Q12" i="23"/>
  <c r="U13" i="23" l="1"/>
  <c r="AD13" i="23" s="1"/>
  <c r="U11" i="23"/>
  <c r="AD11" i="23" s="1"/>
  <c r="U10" i="23"/>
  <c r="AD10" i="23" s="1"/>
  <c r="T14" i="23"/>
  <c r="U12" i="23"/>
  <c r="AD12" i="23" s="1"/>
  <c r="U9" i="23"/>
  <c r="AD9" i="23" s="1"/>
  <c r="AE8" i="23"/>
  <c r="AE10" i="23"/>
  <c r="X10" i="23"/>
  <c r="X13" i="23"/>
  <c r="Y13" i="23"/>
  <c r="B35" i="23"/>
  <c r="G35" i="23"/>
  <c r="Y11" i="23"/>
  <c r="Y8" i="23"/>
  <c r="AD8" i="23"/>
  <c r="Y10" i="23"/>
  <c r="Q14" i="23"/>
  <c r="AE13" i="23"/>
  <c r="AE11" i="23"/>
  <c r="X11" i="23"/>
  <c r="E35" i="23"/>
  <c r="U14" i="23" l="1"/>
  <c r="X14" i="23" s="1"/>
  <c r="F35" i="23"/>
  <c r="Y12" i="23"/>
  <c r="C35" i="23"/>
  <c r="X9" i="23"/>
  <c r="AE9" i="23"/>
  <c r="Y9" i="23"/>
  <c r="AE12" i="23"/>
  <c r="X12" i="23"/>
  <c r="H35" i="23"/>
  <c r="AD14" i="23"/>
  <c r="AE14" i="23" l="1"/>
</calcChain>
</file>

<file path=xl/sharedStrings.xml><?xml version="1.0" encoding="utf-8"?>
<sst xmlns="http://schemas.openxmlformats.org/spreadsheetml/2006/main" count="290" uniqueCount="182">
  <si>
    <t>РАСЧЕТ</t>
  </si>
  <si>
    <t>наименование
поселения</t>
  </si>
  <si>
    <t>по формированию, утверждению, исполнению 
бюджета поселения и контролю за исполнением
данного бюджета</t>
  </si>
  <si>
    <t>удельный
вес расходов</t>
  </si>
  <si>
    <t>коэф-нт
удорожания
стоимости
жку</t>
  </si>
  <si>
    <t>коэф-нт
дифференциации
з/платы</t>
  </si>
  <si>
    <t>коэф-нт 
транспортной
доступности</t>
  </si>
  <si>
    <t>по созданию условий для организации досуга</t>
  </si>
  <si>
    <t>коэф-нт
урбанизации</t>
  </si>
  <si>
    <t>по организации в границах
поселений электро-,
тепло-, газо-,водоснабжения, 
водоотведения, снабжения
населения топливом</t>
  </si>
  <si>
    <t>по содержанию и строительству
автомобильных дорог,
организации благоустройства,
организации освещения улиц,
содержания мест захоронения</t>
  </si>
  <si>
    <t>коэф-нт
благоустройства</t>
  </si>
  <si>
    <t>по содержанию
муниципального
жилищного фонда</t>
  </si>
  <si>
    <t>коэф-нт
структуры
жилого фонда</t>
  </si>
  <si>
    <t>по иным вопросам местного
значения поселений</t>
  </si>
  <si>
    <t>коэф-нт 
концентрации
населения в
административном
центре поселения</t>
  </si>
  <si>
    <t>индекс
бюджетных
расходов</t>
  </si>
  <si>
    <t>ИТОГО</t>
  </si>
  <si>
    <t>Александровское</t>
  </si>
  <si>
    <t>Лукашкин Ярское</t>
  </si>
  <si>
    <t>Назинское</t>
  </si>
  <si>
    <t>Новоникольское</t>
  </si>
  <si>
    <t>Октябрьское</t>
  </si>
  <si>
    <t>Северное</t>
  </si>
  <si>
    <t>Расчет</t>
  </si>
  <si>
    <t>Наименование муниципальных образований</t>
  </si>
  <si>
    <t>Удельный вес  населения  в общей численности населения (гр.2/гр.2итог)</t>
  </si>
  <si>
    <t>коэффициента концентрации населения</t>
  </si>
  <si>
    <t>ВСЕГО по МР</t>
  </si>
  <si>
    <t>Площадь жилого фонда, находящегося в муниципальной собственности, в расчете на 1 жителя (гр 3/гр2)</t>
  </si>
  <si>
    <t>Отношение площади жилого фонда к численности поселения в среднем по району (ит гр 3/ит гр2)</t>
  </si>
  <si>
    <t>по МР</t>
  </si>
  <si>
    <t>Средневзвешенный коэффициент по заработной плате</t>
  </si>
  <si>
    <t>Наименование районов и городов</t>
  </si>
  <si>
    <t>Районный коэффициент
Северная надбавка</t>
  </si>
  <si>
    <t xml:space="preserve">25-% Надбавка к з/п за работу в сельской местности (гр.4*0,25/гр.3) </t>
  </si>
  <si>
    <t>Итого районный коэффициент + северная надбавка + 25% надбавка за работу в сельской местности</t>
  </si>
  <si>
    <t>Удельный вес в МО (гр.3/ сумм.гр.3)</t>
  </si>
  <si>
    <t>Всего:</t>
  </si>
  <si>
    <t>Ставка с учетом всех видов надбавок и коэффициентов (гр.4+гр.5)</t>
  </si>
  <si>
    <t>удельный вес городского населения (гр.3/гр.2)</t>
  </si>
  <si>
    <t>Численность населения сельских поселений, не имеющих жилого фонда в муниципальной собственности, исключается при расчете</t>
  </si>
  <si>
    <t>коэффициента структуры жилого фонда</t>
  </si>
  <si>
    <t>удельный вес</t>
  </si>
  <si>
    <t>МО  "Александровское сельское поселение"</t>
  </si>
  <si>
    <t>МО "Новоникольское сельское поселение"</t>
  </si>
  <si>
    <t xml:space="preserve"> МО  "Октябрьское сельское поселение"</t>
  </si>
  <si>
    <t>Всего</t>
  </si>
  <si>
    <t>МО  "Северное сельское поселение"</t>
  </si>
  <si>
    <t>МО  "Лукашкин-Ярское сельское поселение"</t>
  </si>
  <si>
    <t>МО    "Назинское сельское поселение"</t>
  </si>
  <si>
    <t>корректирующий
коэф-нт</t>
  </si>
  <si>
    <t xml:space="preserve">1.по формированию, утверждению, исполнению 
бюджета поселения и контролю за исполнением
данного бюджета </t>
  </si>
  <si>
    <t xml:space="preserve">2.по созданию условий для организации досуга </t>
  </si>
  <si>
    <t xml:space="preserve">3.по организации в границах
поселений электро-,
тепло-, газо-,водоснабжения, 
водоотведения, снабжения
населения топливом </t>
  </si>
  <si>
    <t xml:space="preserve">4.по содержанию и строительству
автомобильных дорог,
организации благоустройства,
организации освещения улиц,
содержания мест захоронения </t>
  </si>
  <si>
    <t>5.по содержанию
муниципального
жилищного фонда</t>
  </si>
  <si>
    <t xml:space="preserve">6.по иным вопросам местного
значения поселений </t>
  </si>
  <si>
    <t>Кзпj = (Крj +  Ксевнj + Кснj) * Кдисj)/ Кдифзп</t>
  </si>
  <si>
    <t>1.2.4.</t>
  </si>
  <si>
    <t>1.2.3.</t>
  </si>
  <si>
    <r>
      <t xml:space="preserve">Коэффициент удорожания стоимости жилищно-коммунальных услуг (гр, 2/ср. по району гр. 2,  </t>
    </r>
    <r>
      <rPr>
        <b/>
        <sz val="14"/>
        <rFont val="Times New Roman"/>
        <family val="1"/>
        <charset val="204"/>
      </rPr>
      <t xml:space="preserve"> Кжкуj</t>
    </r>
  </si>
  <si>
    <r>
      <t xml:space="preserve">Поправочный коэффициент на дисперсность расселения населения  (1+гр.4), </t>
    </r>
    <r>
      <rPr>
        <b/>
        <sz val="12"/>
        <rFont val="Times New Roman"/>
        <family val="1"/>
        <charset val="204"/>
      </rPr>
      <t>Кдисj</t>
    </r>
  </si>
  <si>
    <r>
      <t xml:space="preserve">Итого средневзвешенный коэффициент по заработной плате (гр.6*гр.7), </t>
    </r>
    <r>
      <rPr>
        <b/>
        <sz val="12"/>
        <rFont val="Times New Roman"/>
        <family val="1"/>
        <charset val="204"/>
      </rPr>
      <t>Кдифзп</t>
    </r>
  </si>
  <si>
    <t>1.2.5.</t>
  </si>
  <si>
    <r>
      <t xml:space="preserve">Коэффициент транспортной доступности (гр4+гр6), </t>
    </r>
    <r>
      <rPr>
        <b/>
        <sz val="12"/>
        <rFont val="Times New Roman"/>
        <family val="1"/>
        <charset val="204"/>
      </rPr>
      <t>Ктдj</t>
    </r>
  </si>
  <si>
    <r>
      <t xml:space="preserve">Коэффициент удаленности (гр.2/гр.2ср.), </t>
    </r>
    <r>
      <rPr>
        <b/>
        <sz val="12"/>
        <rFont val="Times New Roman"/>
        <family val="1"/>
        <charset val="204"/>
      </rPr>
      <t>Кудалj</t>
    </r>
  </si>
  <si>
    <t>Удалср</t>
  </si>
  <si>
    <t>Удалj = сумма Sj / сумма Пj</t>
  </si>
  <si>
    <r>
      <t xml:space="preserve">расстояние от населенного пункта сельского поселения до районного центра, </t>
    </r>
    <r>
      <rPr>
        <b/>
        <sz val="12"/>
        <rFont val="Times New Roman"/>
        <family val="1"/>
        <charset val="204"/>
      </rPr>
      <t>Sj</t>
    </r>
  </si>
  <si>
    <t>Кудалj = Удалj / Удалср</t>
  </si>
  <si>
    <t>Удалср = сумма Удалj / N</t>
  </si>
  <si>
    <r>
      <t xml:space="preserve">Количество поселений, входящих в состав района, </t>
    </r>
    <r>
      <rPr>
        <b/>
        <sz val="12"/>
        <rFont val="Times New Roman"/>
        <family val="1"/>
        <charset val="204"/>
      </rPr>
      <t>N</t>
    </r>
  </si>
  <si>
    <t>Ктдj = Кудалj + Кнаспj</t>
  </si>
  <si>
    <t>Кнаспj = Пj/П</t>
  </si>
  <si>
    <r>
      <t xml:space="preserve">Коэффициент количества населенных пунктов в поселении (гр.5/гр.5ср.), </t>
    </r>
    <r>
      <rPr>
        <b/>
        <sz val="12"/>
        <rFont val="Times New Roman"/>
        <family val="1"/>
        <charset val="204"/>
      </rPr>
      <t>Кнаспj</t>
    </r>
  </si>
  <si>
    <r>
      <t xml:space="preserve">Кол-во населенных пунктов, </t>
    </r>
    <r>
      <rPr>
        <b/>
        <sz val="12"/>
        <rFont val="Times New Roman"/>
        <family val="1"/>
        <charset val="204"/>
      </rPr>
      <t>Пj / итог  П</t>
    </r>
  </si>
  <si>
    <r>
      <t xml:space="preserve">средневзвешанное расстояние до районного центра, км (гр.3/гр.5), </t>
    </r>
    <r>
      <rPr>
        <b/>
        <sz val="12"/>
        <rFont val="Times New Roman"/>
        <family val="1"/>
        <charset val="204"/>
      </rPr>
      <t>Удалj</t>
    </r>
  </si>
  <si>
    <t xml:space="preserve"> Кжкуj =  tj / tp</t>
  </si>
  <si>
    <t xml:space="preserve"> tp - прогноз средневзвешаного тарифа на тепловую энергию по бюджетным организациям в среднем по району на очередной финансовый год</t>
  </si>
  <si>
    <t>Кдисj = 1 + Uj</t>
  </si>
  <si>
    <t>Кдифзп (сумма Крj + Ксевнj + Кснj) * Чj / Ч</t>
  </si>
  <si>
    <t>Ч- численность постоянного населения данного муниципального района на начало текущего финансового года (по данным территориального органа Федеральной службы государственной статистики по Томской области</t>
  </si>
  <si>
    <t>575/8=71,875</t>
  </si>
  <si>
    <t>71,875/6=11,979</t>
  </si>
  <si>
    <t>15/2=7,5</t>
  </si>
  <si>
    <t>7,5/1=7,5</t>
  </si>
  <si>
    <r>
      <t xml:space="preserve">коэффициент урбанизации (гр.4+1), </t>
    </r>
    <r>
      <rPr>
        <b/>
        <sz val="12"/>
        <rFont val="Times New Roman"/>
        <family val="1"/>
        <charset val="204"/>
      </rPr>
      <t>Куj</t>
    </r>
  </si>
  <si>
    <r>
      <t>коэф-нт 
благоустройства, гр3*гр5*гр7,</t>
    </r>
    <r>
      <rPr>
        <b/>
        <sz val="12"/>
        <rFont val="Times New Roman"/>
        <family val="1"/>
        <charset val="204"/>
      </rPr>
      <t xml:space="preserve"> Кблагj </t>
    </r>
  </si>
  <si>
    <r>
      <t xml:space="preserve">коэф-нт
площади
улично-
дорожной
сети, 1+(гр2/итгр2), </t>
    </r>
    <r>
      <rPr>
        <b/>
        <sz val="12"/>
        <rFont val="Times New Roman"/>
        <family val="1"/>
        <charset val="204"/>
      </rPr>
      <t>Кудсj</t>
    </r>
  </si>
  <si>
    <r>
      <t xml:space="preserve">коф-нт 
протяженности
освещенных
частей
улиц, 1+(гр4/итгр4), </t>
    </r>
    <r>
      <rPr>
        <b/>
        <sz val="12"/>
        <rFont val="Times New Roman"/>
        <family val="1"/>
        <charset val="204"/>
      </rPr>
      <t>Кудсj</t>
    </r>
  </si>
  <si>
    <r>
      <t>коэф-нт
притяженности
дорог в
границах
населенных
пунктов, 1+(гр6/итгр6),</t>
    </r>
    <r>
      <rPr>
        <b/>
        <sz val="12"/>
        <rFont val="Times New Roman"/>
        <family val="1"/>
        <charset val="204"/>
      </rPr>
      <t xml:space="preserve"> Кдорj</t>
    </r>
  </si>
  <si>
    <t>1.2.7.</t>
  </si>
  <si>
    <t>1.2.8.</t>
  </si>
  <si>
    <r>
      <t xml:space="preserve">Коэффициент на структуру жилого фонда(гр4/итгр5), </t>
    </r>
    <r>
      <rPr>
        <b/>
        <sz val="12"/>
        <rFont val="Times New Roman"/>
        <family val="1"/>
        <charset val="204"/>
      </rPr>
      <t>Кжфj</t>
    </r>
  </si>
  <si>
    <t>ПЛмжф - площадь жилого фонда на начало текущего финансового года, находящегося в муниципальной собственности в районе</t>
  </si>
  <si>
    <r>
      <t>коэффициент
концентрации
населения в
административном
центре поселения, 1+(гр2-гр3)/гр2,</t>
    </r>
    <r>
      <rPr>
        <b/>
        <sz val="12"/>
        <rFont val="Times New Roman"/>
        <family val="1"/>
        <charset val="204"/>
      </rPr>
      <t xml:space="preserve"> ККНСj</t>
    </r>
  </si>
  <si>
    <t>1.2.9.</t>
  </si>
  <si>
    <r>
      <t>Районный коэффициент</t>
    </r>
    <r>
      <rPr>
        <b/>
        <sz val="14"/>
        <rFont val="Times New Roman"/>
        <family val="1"/>
        <charset val="204"/>
      </rPr>
      <t xml:space="preserve"> (Крj)</t>
    </r>
    <r>
      <rPr>
        <sz val="14"/>
        <rFont val="Times New Roman"/>
        <family val="1"/>
        <charset val="204"/>
      </rPr>
      <t xml:space="preserve"> и северные надбавки к заработной плате </t>
    </r>
    <r>
      <rPr>
        <b/>
        <sz val="14"/>
        <rFont val="Times New Roman"/>
        <family val="1"/>
        <charset val="204"/>
      </rPr>
      <t>(Ксевнj</t>
    </r>
  </si>
  <si>
    <r>
      <t xml:space="preserve">25% - надбавка за работу в сельской местности , </t>
    </r>
    <r>
      <rPr>
        <b/>
        <sz val="14"/>
        <rFont val="Times New Roman"/>
        <family val="1"/>
        <charset val="204"/>
      </rPr>
      <t>Кснj</t>
    </r>
  </si>
  <si>
    <r>
      <t>Поправочный коэффициент на дисперсность расселения,</t>
    </r>
    <r>
      <rPr>
        <b/>
        <sz val="14"/>
        <rFont val="Times New Roman"/>
        <family val="1"/>
        <charset val="204"/>
      </rPr>
      <t xml:space="preserve"> Кдисj</t>
    </r>
  </si>
  <si>
    <r>
      <t xml:space="preserve">Коэффициент дифференциации заработной платы, </t>
    </r>
    <r>
      <rPr>
        <b/>
        <sz val="14"/>
        <rFont val="Times New Roman"/>
        <family val="1"/>
        <charset val="204"/>
      </rPr>
      <t>Кзп</t>
    </r>
    <r>
      <rPr>
        <sz val="14"/>
        <rFont val="Times New Roman"/>
        <family val="1"/>
        <charset val="204"/>
      </rPr>
      <t xml:space="preserve">j (гр.6*гр.7)/2,450    2,450 -средневзвешенный коэффициент по заработной плате </t>
    </r>
    <r>
      <rPr>
        <b/>
        <sz val="14"/>
        <rFont val="Times New Roman"/>
        <family val="1"/>
        <charset val="204"/>
      </rPr>
      <t>(Кдифзп)</t>
    </r>
  </si>
  <si>
    <t>1.2.6.</t>
  </si>
  <si>
    <t>Численность населения, проживающего в населенных пунктах с численностью до 500 человек (чел.)</t>
  </si>
  <si>
    <r>
      <t xml:space="preserve">Удельный вес населения, проживающего в населенных пунктах с численностью до 500 человек (чел.) (гр.3/гр.2),  </t>
    </r>
    <r>
      <rPr>
        <b/>
        <sz val="12"/>
        <rFont val="Times New Roman"/>
        <family val="1"/>
        <charset val="204"/>
      </rPr>
      <t>Uj</t>
    </r>
  </si>
  <si>
    <t>Сумма (тыс. руб.)</t>
  </si>
  <si>
    <t>Сумма        (тыс. руб.)</t>
  </si>
  <si>
    <r>
      <t xml:space="preserve">Прогноз средневзвешенного тарифа на тепловую энергию по бюджетным организациям на 2022 год (по данным Департамента тарифного регулирования), </t>
    </r>
    <r>
      <rPr>
        <b/>
        <sz val="14"/>
        <rFont val="Times New Roman"/>
        <family val="1"/>
        <charset val="204"/>
      </rPr>
      <t>tj</t>
    </r>
  </si>
  <si>
    <t>коэффициента дифференциации заработной платы на 2023 год</t>
  </si>
  <si>
    <t>поправочного коэффициента на дисперсность расселения населения на 2023 год</t>
  </si>
  <si>
    <t>для расчета ИБР на 2023 год</t>
  </si>
  <si>
    <t>Расчет коэффициента транспортной доступности на 2023 год</t>
  </si>
  <si>
    <t>Расчет коэффициента урбанизации на 2023 год</t>
  </si>
  <si>
    <t>протяженность
освещенных
частей
улиц, проездов, набережных на
01.01.2021,
км.</t>
  </si>
  <si>
    <t xml:space="preserve">протяженность
дорог в
границах
населенных
пунктов на 
01.01.2021 км.
</t>
  </si>
  <si>
    <t>в административном центре поселения на 2023 год</t>
  </si>
  <si>
    <t>Расчет удельного веса расходов бюджетов поселений Александровского района на 2023 год</t>
  </si>
  <si>
    <t>индекса бюджетных расходов поселений на 2023 год</t>
  </si>
  <si>
    <t xml:space="preserve">распределения дотаций сельским поселениям Александровского района  на 2023 год </t>
  </si>
  <si>
    <t>наименование
сельского 
поселения</t>
  </si>
  <si>
    <t>численность
населения 
на 01.01.2021г.
чел.</t>
  </si>
  <si>
    <t>численность
населения 
скорректированная на индекс бюджетных расходов</t>
  </si>
  <si>
    <t>1 часть 
РФФПП,
тыс. руб.</t>
  </si>
  <si>
    <t>1 часть 
РФФПП в 
расчете на 1
жителя, руб.
гр3/гр2</t>
  </si>
  <si>
    <t>распределение
1 части
РФФПП,
тыс. руб.
гр4*гр2</t>
  </si>
  <si>
    <t>налоговый
потенциал
поселений,
тыс. руб..</t>
  </si>
  <si>
    <t>налоговый
потенциал
поселений в расчете на 1 жителя,
руб.
гр6/гр2</t>
  </si>
  <si>
    <t>индекс
налогового 
потенциала
гр7/итгр7</t>
  </si>
  <si>
    <t>индекс
бюджетных 
расходов</t>
  </si>
  <si>
    <t>бюджетная
обеспеченность
гр8/гр9</t>
  </si>
  <si>
    <t>2 часть
РФФПП,
тыс. руб.</t>
  </si>
  <si>
    <t>объем 2 
части РФФПП
на 1-ом
этапе,
тыс. руб. гр11*0,9</t>
  </si>
  <si>
    <t>максимальный
уровень 
бюджетной
обеспеченности</t>
  </si>
  <si>
    <t>степень
сокращения
отставания
уровня
бюджетной
обеспеченности
гр13-гр10</t>
  </si>
  <si>
    <t xml:space="preserve">средства,
необходимые
для доведения
уровня
бюджетной 
обеспеченности
до максимального
уровня
гр7макс*гр14*гр2*гр9
</t>
  </si>
  <si>
    <t>1 этап 2
части РФФПП,
тыс. руб.
гр15*гр12/итгр15</t>
  </si>
  <si>
    <t>объем 2
части РФФПП
на 2-ом
этапе,
тыс. руб.
гр11-гр16</t>
  </si>
  <si>
    <t>численность населения*бюджетную обеспеченность
гр2*гр10</t>
  </si>
  <si>
    <t>2 этап
2 части
РФФПП,
тыс. руб.
гр17*гр18/итгр18</t>
  </si>
  <si>
    <t>итого
РФФПП,
тыс. руб.
гр5+гр16+гр19</t>
  </si>
  <si>
    <t xml:space="preserve">
бюджетная
обеспеченность
до выравнивания</t>
  </si>
  <si>
    <t>ранжирование
до выравнивания</t>
  </si>
  <si>
    <t>доходы поселения
после выравнивания
в расчете на 1 жителя, руб.
(гр6+гр20)/гр2</t>
  </si>
  <si>
    <t>бюджетная обеспеченность
после выравнивания
гр23/итгр23*гр9</t>
  </si>
  <si>
    <t>ранжирование
после
выравнивания</t>
  </si>
  <si>
    <t>Базовые расходы</t>
  </si>
  <si>
    <t>собственные доходы</t>
  </si>
  <si>
    <t>Дотация на сбалансированность</t>
  </si>
  <si>
    <t>дотация за счет средств бюджета района</t>
  </si>
  <si>
    <t>Налог на доходы физических лиц</t>
  </si>
  <si>
    <t>Земельный налог</t>
  </si>
  <si>
    <t>Налог на имущество физических лиц</t>
  </si>
  <si>
    <t>Лукашкин Яр</t>
  </si>
  <si>
    <t>всего</t>
  </si>
  <si>
    <t>всего доходов</t>
  </si>
  <si>
    <t>всего расходов</t>
  </si>
  <si>
    <t>Доходы для расчеты дотации</t>
  </si>
  <si>
    <t>дополнительная потребность</t>
  </si>
  <si>
    <t>1401 =</t>
  </si>
  <si>
    <t>Дорожный фонд</t>
  </si>
  <si>
    <t>Первоочередные расходы всего:</t>
  </si>
  <si>
    <t>Не первоочередные расходы всего , из них:</t>
  </si>
  <si>
    <t>расходы 2022 года</t>
  </si>
  <si>
    <t>увеличение ФОТ на 10 %</t>
  </si>
  <si>
    <t>дополнительно выделено на текущие расходы</t>
  </si>
  <si>
    <t>увеличение дорожного фонда</t>
  </si>
  <si>
    <t>Назино</t>
  </si>
  <si>
    <t>увеличение МРОТ в  2022</t>
  </si>
  <si>
    <t>переданные полномочия</t>
  </si>
  <si>
    <r>
      <t xml:space="preserve">Численность населения на 01.01.2022                 </t>
    </r>
    <r>
      <rPr>
        <b/>
        <sz val="14"/>
        <rFont val="Times New Roman"/>
        <family val="1"/>
        <charset val="204"/>
      </rPr>
      <t>( чел.), Чj/ Ч</t>
    </r>
  </si>
  <si>
    <t>Численность населения на 01.01.2022         (чел.)</t>
  </si>
  <si>
    <t>Численность населения на 01.01.2022, проживающего в муниципальном жилье ( чел.)</t>
  </si>
  <si>
    <r>
      <t xml:space="preserve">Площадь жилого фонда, находящегося в муниципальной собственности, на 01.01.2022 (кв.м), </t>
    </r>
    <r>
      <rPr>
        <b/>
        <sz val="12"/>
        <rFont val="Times New Roman"/>
        <family val="1"/>
        <charset val="204"/>
      </rPr>
      <t>ПЛмжфj</t>
    </r>
  </si>
  <si>
    <t>численность
населения на
01.01.2022,
чел.</t>
  </si>
  <si>
    <t>численность
населения
административного
центра поселения
на 01.01.2022, чел.</t>
  </si>
  <si>
    <t>площадь
улично-
дорожной 
сети на
01.01.2022,
тыс.кв.м.</t>
  </si>
  <si>
    <t>Численность населения на 01.01.2022 ( чел.)</t>
  </si>
  <si>
    <t>Городское население на 01.01.2022 ( чел)</t>
  </si>
  <si>
    <r>
      <t xml:space="preserve">Численность населения на 01.01.2022 г., </t>
    </r>
    <r>
      <rPr>
        <b/>
        <sz val="12"/>
        <rFont val="Times New Roman"/>
        <family val="1"/>
        <charset val="204"/>
      </rPr>
      <t xml:space="preserve">Чj </t>
    </r>
  </si>
  <si>
    <t>Расчет коэффициента удорожания стоимости ЖКУ на 2023 год</t>
  </si>
  <si>
    <t>Расчет коэффициента благоустройства на 2023 год</t>
  </si>
  <si>
    <t>Расчет поправочного коэффициента на структуру жилого фонда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</si>
</sst>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00"/>
    <numFmt numFmtId="167" formatCode="#,##0.0"/>
  </numFmts>
  <fonts count="14" x14ac:knownFonts="1">
    <font>
      <sz val="10"/>
      <name val="Arial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EC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double">
        <color indexed="64"/>
      </bottom>
      <diagonal/>
    </border>
    <border>
      <left style="thin">
        <color indexed="22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wrapText="1"/>
    </xf>
    <xf numFmtId="49" fontId="2" fillId="0" borderId="0" xfId="0" applyNumberFormat="1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 applyBorder="1" applyAlignment="1">
      <alignment wrapText="1"/>
    </xf>
    <xf numFmtId="164" fontId="5" fillId="0" borderId="0" xfId="0" applyNumberFormat="1" applyFont="1" applyBorder="1"/>
    <xf numFmtId="2" fontId="5" fillId="0" borderId="0" xfId="0" applyNumberFormat="1" applyFont="1" applyBorder="1"/>
    <xf numFmtId="2" fontId="5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7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6" fontId="2" fillId="2" borderId="1" xfId="0" applyNumberFormat="1" applyFont="1" applyFill="1" applyBorder="1"/>
    <xf numFmtId="0" fontId="2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2" fillId="2" borderId="0" xfId="0" applyFont="1" applyFill="1"/>
    <xf numFmtId="164" fontId="2" fillId="2" borderId="0" xfId="0" applyNumberFormat="1" applyFont="1" applyFill="1"/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/>
    <xf numFmtId="0" fontId="7" fillId="2" borderId="1" xfId="0" applyFont="1" applyFill="1" applyBorder="1"/>
    <xf numFmtId="0" fontId="5" fillId="2" borderId="0" xfId="0" applyFont="1" applyFill="1"/>
    <xf numFmtId="0" fontId="5" fillId="2" borderId="0" xfId="0" applyFont="1" applyFill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/>
    </xf>
    <xf numFmtId="0" fontId="6" fillId="2" borderId="0" xfId="0" applyFont="1" applyFill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/>
    <xf numFmtId="1" fontId="2" fillId="2" borderId="1" xfId="0" applyNumberFormat="1" applyFont="1" applyFill="1" applyBorder="1"/>
    <xf numFmtId="0" fontId="3" fillId="2" borderId="1" xfId="0" applyFont="1" applyFill="1" applyBorder="1"/>
    <xf numFmtId="165" fontId="3" fillId="2" borderId="1" xfId="0" applyNumberFormat="1" applyFont="1" applyFill="1" applyBorder="1"/>
    <xf numFmtId="164" fontId="3" fillId="2" borderId="1" xfId="0" applyNumberFormat="1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0" xfId="0" applyFont="1" applyFill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0" xfId="0" applyNumberFormat="1" applyFont="1" applyFill="1" applyBorder="1" applyAlignment="1" applyProtection="1">
      <alignment vertical="top"/>
    </xf>
    <xf numFmtId="0" fontId="2" fillId="2" borderId="1" xfId="0" applyNumberFormat="1" applyFont="1" applyFill="1" applyBorder="1" applyAlignment="1" applyProtection="1">
      <alignment horizontal="left" vertical="top" indent="3"/>
    </xf>
    <xf numFmtId="49" fontId="2" fillId="2" borderId="1" xfId="0" applyNumberFormat="1" applyFont="1" applyFill="1" applyBorder="1" applyAlignment="1" applyProtection="1">
      <alignment horizontal="left" vertical="top" indent="8"/>
    </xf>
    <xf numFmtId="0" fontId="2" fillId="2" borderId="1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left" vertical="top" indent="4"/>
    </xf>
    <xf numFmtId="0" fontId="2" fillId="2" borderId="1" xfId="0" applyFont="1" applyFill="1" applyBorder="1" applyAlignment="1">
      <alignment horizontal="left" indent="1"/>
    </xf>
    <xf numFmtId="0" fontId="2" fillId="2" borderId="1" xfId="0" applyNumberFormat="1" applyFont="1" applyFill="1" applyBorder="1" applyAlignment="1" applyProtection="1">
      <alignment horizontal="right" vertical="top"/>
    </xf>
    <xf numFmtId="164" fontId="2" fillId="2" borderId="1" xfId="0" applyNumberFormat="1" applyFont="1" applyFill="1" applyBorder="1" applyAlignment="1" applyProtection="1">
      <alignment horizontal="right" vertical="top"/>
    </xf>
    <xf numFmtId="164" fontId="2" fillId="2" borderId="1" xfId="0" applyNumberFormat="1" applyFont="1" applyFill="1" applyBorder="1" applyAlignment="1" applyProtection="1">
      <alignment vertical="top"/>
    </xf>
    <xf numFmtId="0" fontId="3" fillId="2" borderId="1" xfId="0" applyNumberFormat="1" applyFont="1" applyFill="1" applyBorder="1" applyAlignment="1" applyProtection="1">
      <alignment horizontal="left" vertical="top"/>
    </xf>
    <xf numFmtId="165" fontId="3" fillId="2" borderId="1" xfId="0" applyNumberFormat="1" applyFont="1" applyFill="1" applyBorder="1" applyAlignment="1" applyProtection="1">
      <alignment horizontal="right" vertical="top"/>
    </xf>
    <xf numFmtId="164" fontId="3" fillId="2" borderId="1" xfId="0" applyNumberFormat="1" applyFont="1" applyFill="1" applyBorder="1" applyAlignment="1" applyProtection="1">
      <alignment horizontal="right" vertical="top"/>
    </xf>
    <xf numFmtId="164" fontId="2" fillId="2" borderId="0" xfId="0" applyNumberFormat="1" applyFont="1" applyFill="1" applyBorder="1" applyAlignment="1" applyProtection="1">
      <alignment vertical="top"/>
    </xf>
    <xf numFmtId="164" fontId="0" fillId="2" borderId="0" xfId="0" applyNumberFormat="1" applyFill="1"/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166" fontId="2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167" fontId="3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165" fontId="3" fillId="2" borderId="8" xfId="0" applyNumberFormat="1" applyFont="1" applyFill="1" applyBorder="1" applyAlignment="1">
      <alignment horizontal="center" vertical="center"/>
    </xf>
    <xf numFmtId="165" fontId="3" fillId="2" borderId="9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/>
    <xf numFmtId="4" fontId="9" fillId="0" borderId="1" xfId="0" applyNumberFormat="1" applyFont="1" applyBorder="1"/>
    <xf numFmtId="0" fontId="9" fillId="0" borderId="0" xfId="0" applyFont="1"/>
    <xf numFmtId="167" fontId="9" fillId="0" borderId="0" xfId="0" applyNumberFormat="1" applyFont="1"/>
    <xf numFmtId="4" fontId="9" fillId="0" borderId="0" xfId="0" applyNumberFormat="1" applyFont="1"/>
    <xf numFmtId="166" fontId="9" fillId="0" borderId="1" xfId="0" applyNumberFormat="1" applyFont="1" applyBorder="1"/>
    <xf numFmtId="166" fontId="9" fillId="9" borderId="1" xfId="0" applyNumberFormat="1" applyFont="1" applyFill="1" applyBorder="1"/>
    <xf numFmtId="166" fontId="10" fillId="0" borderId="1" xfId="0" applyNumberFormat="1" applyFont="1" applyBorder="1"/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166" fontId="9" fillId="0" borderId="0" xfId="0" applyNumberFormat="1" applyFont="1"/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12" fillId="0" borderId="1" xfId="0" applyFont="1" applyBorder="1"/>
    <xf numFmtId="166" fontId="9" fillId="4" borderId="1" xfId="0" applyNumberFormat="1" applyFont="1" applyFill="1" applyBorder="1"/>
    <xf numFmtId="166" fontId="12" fillId="0" borderId="1" xfId="0" applyNumberFormat="1" applyFont="1" applyBorder="1"/>
    <xf numFmtId="164" fontId="9" fillId="2" borderId="1" xfId="0" applyNumberFormat="1" applyFont="1" applyFill="1" applyBorder="1"/>
    <xf numFmtId="164" fontId="12" fillId="5" borderId="1" xfId="0" applyNumberFormat="1" applyFont="1" applyFill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9" fillId="0" borderId="1" xfId="0" applyNumberFormat="1" applyFont="1" applyBorder="1"/>
    <xf numFmtId="4" fontId="11" fillId="0" borderId="1" xfId="0" applyNumberFormat="1" applyFont="1" applyBorder="1"/>
    <xf numFmtId="164" fontId="9" fillId="6" borderId="1" xfId="0" applyNumberFormat="1" applyFont="1" applyFill="1" applyBorder="1"/>
    <xf numFmtId="0" fontId="9" fillId="6" borderId="1" xfId="0" applyFont="1" applyFill="1" applyBorder="1"/>
    <xf numFmtId="1" fontId="9" fillId="0" borderId="1" xfId="0" applyNumberFormat="1" applyFont="1" applyBorder="1"/>
    <xf numFmtId="164" fontId="9" fillId="7" borderId="1" xfId="0" applyNumberFormat="1" applyFont="1" applyFill="1" applyBorder="1"/>
    <xf numFmtId="0" fontId="9" fillId="7" borderId="1" xfId="0" applyFont="1" applyFill="1" applyBorder="1"/>
    <xf numFmtId="165" fontId="12" fillId="0" borderId="1" xfId="0" applyNumberFormat="1" applyFont="1" applyBorder="1"/>
    <xf numFmtId="2" fontId="9" fillId="0" borderId="1" xfId="0" applyNumberFormat="1" applyFont="1" applyBorder="1"/>
    <xf numFmtId="2" fontId="9" fillId="2" borderId="1" xfId="0" applyNumberFormat="1" applyFont="1" applyFill="1" applyBorder="1"/>
    <xf numFmtId="3" fontId="12" fillId="0" borderId="1" xfId="0" applyNumberFormat="1" applyFont="1" applyBorder="1"/>
    <xf numFmtId="166" fontId="12" fillId="4" borderId="1" xfId="0" applyNumberFormat="1" applyFont="1" applyFill="1" applyBorder="1"/>
    <xf numFmtId="166" fontId="12" fillId="8" borderId="1" xfId="0" applyNumberFormat="1" applyFont="1" applyFill="1" applyBorder="1"/>
    <xf numFmtId="2" fontId="12" fillId="0" borderId="1" xfId="0" applyNumberFormat="1" applyFont="1" applyBorder="1"/>
    <xf numFmtId="0" fontId="12" fillId="2" borderId="1" xfId="0" applyFont="1" applyFill="1" applyBorder="1"/>
    <xf numFmtId="166" fontId="11" fillId="0" borderId="1" xfId="0" applyNumberFormat="1" applyFont="1" applyBorder="1"/>
    <xf numFmtId="165" fontId="9" fillId="0" borderId="0" xfId="0" applyNumberFormat="1" applyFont="1"/>
    <xf numFmtId="165" fontId="9" fillId="0" borderId="1" xfId="0" applyNumberFormat="1" applyFont="1" applyBorder="1"/>
    <xf numFmtId="3" fontId="9" fillId="2" borderId="1" xfId="0" applyNumberFormat="1" applyFont="1" applyFill="1" applyBorder="1" applyAlignment="1">
      <alignment horizontal="center"/>
    </xf>
    <xf numFmtId="3" fontId="9" fillId="3" borderId="1" xfId="0" applyNumberFormat="1" applyFont="1" applyFill="1" applyBorder="1"/>
    <xf numFmtId="0" fontId="9" fillId="0" borderId="1" xfId="0" applyFont="1" applyFill="1" applyBorder="1" applyAlignment="1">
      <alignment horizontal="left" vertical="top" wrapText="1"/>
    </xf>
    <xf numFmtId="2" fontId="10" fillId="0" borderId="1" xfId="0" applyNumberFormat="1" applyFont="1" applyFill="1" applyBorder="1"/>
    <xf numFmtId="0" fontId="13" fillId="0" borderId="1" xfId="0" applyFont="1" applyBorder="1" applyAlignment="1">
      <alignment vertical="center" wrapText="1"/>
    </xf>
    <xf numFmtId="166" fontId="13" fillId="0" borderId="1" xfId="0" applyNumberFormat="1" applyFont="1" applyBorder="1"/>
    <xf numFmtId="0" fontId="11" fillId="0" borderId="1" xfId="0" applyFont="1" applyBorder="1" applyAlignment="1">
      <alignment wrapText="1"/>
    </xf>
    <xf numFmtId="0" fontId="9" fillId="0" borderId="0" xfId="0" applyFont="1" applyBorder="1"/>
    <xf numFmtId="166" fontId="9" fillId="0" borderId="0" xfId="0" applyNumberFormat="1" applyFont="1" applyBorder="1"/>
    <xf numFmtId="166" fontId="13" fillId="0" borderId="0" xfId="0" applyNumberFormat="1" applyFont="1" applyBorder="1"/>
    <xf numFmtId="166" fontId="11" fillId="0" borderId="0" xfId="0" applyNumberFormat="1" applyFont="1" applyBorder="1"/>
    <xf numFmtId="166" fontId="2" fillId="0" borderId="1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0" borderId="0" xfId="0" applyFont="1"/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4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wrapText="1"/>
    </xf>
    <xf numFmtId="0" fontId="3" fillId="2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 applyProtection="1">
      <alignment horizontal="center" vertical="top"/>
    </xf>
    <xf numFmtId="0" fontId="6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2" borderId="0" xfId="0" applyFont="1" applyFill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view="pageBreakPreview" zoomScale="60" zoomScaleNormal="100" workbookViewId="0">
      <selection activeCell="F37" sqref="F35:F37"/>
    </sheetView>
  </sheetViews>
  <sheetFormatPr defaultRowHeight="15.75" x14ac:dyDescent="0.25"/>
  <cols>
    <col min="1" max="1" width="19.28515625" style="22" customWidth="1"/>
    <col min="2" max="2" width="10.5703125" style="23" customWidth="1"/>
    <col min="3" max="3" width="13.85546875" style="22" customWidth="1"/>
    <col min="4" max="4" width="11.42578125" style="22" customWidth="1"/>
    <col min="5" max="5" width="16.7109375" style="22" customWidth="1"/>
    <col min="6" max="6" width="10.42578125" style="22" customWidth="1"/>
    <col min="7" max="7" width="10.5703125" style="22" customWidth="1"/>
    <col min="8" max="8" width="13.85546875" style="22" customWidth="1"/>
    <col min="9" max="9" width="11.42578125" style="22" customWidth="1"/>
    <col min="10" max="10" width="14.42578125" style="22" customWidth="1"/>
    <col min="11" max="11" width="11.85546875" style="22" customWidth="1"/>
    <col min="12" max="12" width="10.5703125" style="22" customWidth="1"/>
    <col min="13" max="13" width="13.85546875" style="22" customWidth="1"/>
    <col min="14" max="14" width="10" style="22" customWidth="1"/>
    <col min="15" max="15" width="10.5703125" style="22" customWidth="1"/>
    <col min="16" max="16" width="11.28515625" style="22" customWidth="1"/>
    <col min="17" max="17" width="11.140625" style="22" customWidth="1"/>
    <col min="18" max="18" width="10.5703125" style="22" customWidth="1"/>
    <col min="19" max="19" width="13" style="22" customWidth="1"/>
    <col min="20" max="20" width="14.140625" style="22" customWidth="1"/>
    <col min="21" max="21" width="10.5703125" style="22" customWidth="1"/>
    <col min="22" max="22" width="17.5703125" style="22" customWidth="1"/>
    <col min="23" max="23" width="12.5703125" style="22" customWidth="1"/>
    <col min="24" max="24" width="12" style="22" customWidth="1"/>
    <col min="25" max="25" width="16.5703125" style="22" customWidth="1"/>
    <col min="26" max="16384" width="9.140625" style="22"/>
  </cols>
  <sheetData>
    <row r="1" spans="1:26" x14ac:dyDescent="0.25">
      <c r="E1" s="163" t="s">
        <v>0</v>
      </c>
      <c r="F1" s="163"/>
      <c r="G1" s="163"/>
    </row>
    <row r="2" spans="1:26" x14ac:dyDescent="0.25">
      <c r="C2" s="163" t="s">
        <v>117</v>
      </c>
      <c r="D2" s="163"/>
      <c r="E2" s="163"/>
      <c r="F2" s="163"/>
      <c r="G2" s="163"/>
      <c r="H2" s="163"/>
      <c r="I2" s="163"/>
    </row>
    <row r="4" spans="1:26" ht="97.5" customHeight="1" x14ac:dyDescent="0.25">
      <c r="A4" s="161" t="s">
        <v>1</v>
      </c>
      <c r="B4" s="158" t="s">
        <v>2</v>
      </c>
      <c r="C4" s="159"/>
      <c r="D4" s="159"/>
      <c r="E4" s="159"/>
      <c r="F4" s="160"/>
      <c r="G4" s="164" t="s">
        <v>7</v>
      </c>
      <c r="H4" s="159"/>
      <c r="I4" s="159"/>
      <c r="J4" s="159"/>
      <c r="K4" s="160"/>
      <c r="L4" s="158" t="s">
        <v>9</v>
      </c>
      <c r="M4" s="159"/>
      <c r="N4" s="160"/>
      <c r="O4" s="165" t="s">
        <v>10</v>
      </c>
      <c r="P4" s="166"/>
      <c r="Q4" s="166"/>
      <c r="R4" s="158" t="s">
        <v>12</v>
      </c>
      <c r="S4" s="159"/>
      <c r="T4" s="160"/>
      <c r="U4" s="158" t="s">
        <v>14</v>
      </c>
      <c r="V4" s="159"/>
      <c r="W4" s="159"/>
      <c r="X4" s="160"/>
      <c r="Y4" s="161" t="s">
        <v>16</v>
      </c>
    </row>
    <row r="5" spans="1:26" ht="90.75" customHeight="1" x14ac:dyDescent="0.25">
      <c r="A5" s="162"/>
      <c r="B5" s="24" t="s">
        <v>3</v>
      </c>
      <c r="C5" s="25" t="s">
        <v>4</v>
      </c>
      <c r="D5" s="25" t="s">
        <v>5</v>
      </c>
      <c r="E5" s="25" t="s">
        <v>6</v>
      </c>
      <c r="F5" s="25" t="s">
        <v>51</v>
      </c>
      <c r="G5" s="25" t="s">
        <v>3</v>
      </c>
      <c r="H5" s="25" t="s">
        <v>4</v>
      </c>
      <c r="I5" s="25" t="s">
        <v>5</v>
      </c>
      <c r="J5" s="25" t="s">
        <v>8</v>
      </c>
      <c r="K5" s="25" t="s">
        <v>51</v>
      </c>
      <c r="L5" s="25" t="s">
        <v>3</v>
      </c>
      <c r="M5" s="25" t="s">
        <v>4</v>
      </c>
      <c r="N5" s="25" t="s">
        <v>51</v>
      </c>
      <c r="O5" s="25" t="s">
        <v>3</v>
      </c>
      <c r="P5" s="25" t="s">
        <v>11</v>
      </c>
      <c r="Q5" s="25" t="s">
        <v>51</v>
      </c>
      <c r="R5" s="25" t="s">
        <v>3</v>
      </c>
      <c r="S5" s="25" t="s">
        <v>13</v>
      </c>
      <c r="T5" s="25" t="s">
        <v>51</v>
      </c>
      <c r="U5" s="25" t="s">
        <v>3</v>
      </c>
      <c r="V5" s="25" t="s">
        <v>15</v>
      </c>
      <c r="W5" s="25" t="s">
        <v>8</v>
      </c>
      <c r="X5" s="25" t="s">
        <v>51</v>
      </c>
      <c r="Y5" s="162"/>
    </row>
    <row r="6" spans="1:26" x14ac:dyDescent="0.25">
      <c r="A6" s="17">
        <v>1</v>
      </c>
      <c r="B6" s="26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  <c r="Q6" s="17">
        <v>17</v>
      </c>
      <c r="R6" s="17">
        <v>18</v>
      </c>
      <c r="S6" s="17">
        <v>19</v>
      </c>
      <c r="T6" s="17">
        <v>20</v>
      </c>
      <c r="U6" s="17">
        <v>21</v>
      </c>
      <c r="V6" s="17">
        <v>22</v>
      </c>
      <c r="W6" s="17">
        <v>23</v>
      </c>
      <c r="X6" s="17">
        <v>24</v>
      </c>
      <c r="Y6" s="17">
        <v>25</v>
      </c>
    </row>
    <row r="7" spans="1:26" ht="30.75" customHeight="1" x14ac:dyDescent="0.25">
      <c r="A7" s="27" t="s">
        <v>18</v>
      </c>
      <c r="B7" s="28">
        <f>'88 удельный вес расходов'!B4</f>
        <v>0.29499999999999998</v>
      </c>
      <c r="C7" s="28">
        <f>'89  коэф. на удорож стои ЖКУ'!C6</f>
        <v>0.96899999999999997</v>
      </c>
      <c r="D7" s="28">
        <f>'90 Коэф. дифферен-ии зар. пла'!H7</f>
        <v>1.0099736243281598</v>
      </c>
      <c r="E7" s="28">
        <f>'93 коэф. транспортной доступ'!H6</f>
        <v>0.35499999999999998</v>
      </c>
      <c r="F7" s="28">
        <f>ROUND(B7*C7*D7*E7,3)</f>
        <v>0.10199999999999999</v>
      </c>
      <c r="G7" s="28">
        <f>'88 удельный вес расходов'!D4</f>
        <v>0.36</v>
      </c>
      <c r="H7" s="28">
        <f>'89  коэф. на удорож стои ЖКУ'!C6</f>
        <v>0.96899999999999997</v>
      </c>
      <c r="I7" s="28">
        <f>'90 Коэф. дифферен-ии зар. пла'!H7</f>
        <v>1.0099736243281598</v>
      </c>
      <c r="J7" s="28">
        <f>'94 коэф урбанизации'!E6</f>
        <v>1</v>
      </c>
      <c r="K7" s="28">
        <f>ROUND(G7*H7*I7*J7,3)</f>
        <v>0.35199999999999998</v>
      </c>
      <c r="L7" s="28">
        <f>'88 удельный вес расходов'!F4</f>
        <v>1.6E-2</v>
      </c>
      <c r="M7" s="28">
        <f>'89  коэф. на удорож стои ЖКУ'!C6</f>
        <v>0.96899999999999997</v>
      </c>
      <c r="N7" s="28">
        <f>ROUND(L7*M7,3)</f>
        <v>1.6E-2</v>
      </c>
      <c r="O7" s="28">
        <f>'88 удельный вес расходов'!H4</f>
        <v>0.16200000000000001</v>
      </c>
      <c r="P7" s="28">
        <f>'95 коэф. благоустройства'!H5</f>
        <v>3.2038823650450956</v>
      </c>
      <c r="Q7" s="28">
        <f>ROUND(O7*P7,3)</f>
        <v>0.51900000000000002</v>
      </c>
      <c r="R7" s="28">
        <f>'88 удельный вес расходов'!J4</f>
        <v>2.4E-2</v>
      </c>
      <c r="S7" s="28">
        <f>'96 структ жил фонда'!F8</f>
        <v>0.52500000000000002</v>
      </c>
      <c r="T7" s="28">
        <f>ROUND(R7*S7,3)</f>
        <v>1.2999999999999999E-2</v>
      </c>
      <c r="U7" s="28">
        <f>'88 удельный вес расходов'!L4</f>
        <v>0.1</v>
      </c>
      <c r="V7" s="28">
        <f>'97 .коэф. концентр населения'!D8</f>
        <v>1.01</v>
      </c>
      <c r="W7" s="28">
        <f>'94 коэф урбанизации'!E6</f>
        <v>1</v>
      </c>
      <c r="X7" s="28">
        <f>ROUND(U7*V7*W7,3)</f>
        <v>0.10100000000000001</v>
      </c>
      <c r="Y7" s="28">
        <f>ROUND(F7+K7+N7+Q7+T7+X7,3)</f>
        <v>1.103</v>
      </c>
    </row>
    <row r="8" spans="1:26" ht="33.75" customHeight="1" x14ac:dyDescent="0.25">
      <c r="A8" s="27" t="s">
        <v>19</v>
      </c>
      <c r="B8" s="28">
        <f>'88 удельный вес расходов'!B5</f>
        <v>0.64900000000000002</v>
      </c>
      <c r="C8" s="28">
        <f>'89  коэф. на удорож стои ЖКУ'!C7</f>
        <v>1.3089999999999999</v>
      </c>
      <c r="D8" s="28">
        <f>'90 Коэф. дифферен-ии зар. пла'!H8</f>
        <v>2.0008166598611683</v>
      </c>
      <c r="E8" s="28">
        <f>'93 коэф. транспортной доступ'!H7</f>
        <v>0.75327225130890052</v>
      </c>
      <c r="F8" s="28">
        <f t="shared" ref="F8:F13" si="0">ROUND(B8*C8*D8*E8,3)</f>
        <v>1.28</v>
      </c>
      <c r="G8" s="28">
        <f>'88 удельный вес расходов'!D5</f>
        <v>0.155</v>
      </c>
      <c r="H8" s="28">
        <f>'89  коэф. на удорож стои ЖКУ'!C7</f>
        <v>1.3089999999999999</v>
      </c>
      <c r="I8" s="28">
        <f>'90 Коэф. дифферен-ии зар. пла'!H8</f>
        <v>2.0008166598611683</v>
      </c>
      <c r="J8" s="28">
        <f>'94 коэф урбанизации'!E7</f>
        <v>1</v>
      </c>
      <c r="K8" s="28">
        <f t="shared" ref="K8:K13" si="1">ROUND(G8*H8*I8*J8,3)</f>
        <v>0.40600000000000003</v>
      </c>
      <c r="L8" s="28">
        <f>'88 удельный вес расходов'!F5</f>
        <v>0.14299999999999999</v>
      </c>
      <c r="M8" s="28">
        <f>'89  коэф. на удорож стои ЖКУ'!C7</f>
        <v>1.3089999999999999</v>
      </c>
      <c r="N8" s="28">
        <f t="shared" ref="N8:N13" si="2">ROUND(L8*M8,3)</f>
        <v>0.187</v>
      </c>
      <c r="O8" s="28">
        <f>'88 удельный вес расходов'!H5</f>
        <v>0.108</v>
      </c>
      <c r="P8" s="28">
        <f>'95 коэф. благоустройства'!H6</f>
        <v>1.4088667306923417</v>
      </c>
      <c r="Q8" s="28">
        <f t="shared" ref="Q8:Q13" si="3">ROUND(O8*P8,3)</f>
        <v>0.152</v>
      </c>
      <c r="R8" s="28">
        <f>'88 удельный вес расходов'!J5</f>
        <v>1E-3</v>
      </c>
      <c r="S8" s="28">
        <f>'96 структ жил фонда'!F9</f>
        <v>1.198</v>
      </c>
      <c r="T8" s="28">
        <f t="shared" ref="T8:T13" si="4">ROUND(R8*S8,3)</f>
        <v>1E-3</v>
      </c>
      <c r="U8" s="28">
        <f>'88 удельный вес расходов'!L5</f>
        <v>1.6E-2</v>
      </c>
      <c r="V8" s="28">
        <f>'97 .коэф. концентр населения'!D9</f>
        <v>1.0108401084010841</v>
      </c>
      <c r="W8" s="28">
        <f>'94 коэф урбанизации'!E7</f>
        <v>1</v>
      </c>
      <c r="X8" s="28">
        <f t="shared" ref="X8:X13" si="5">ROUND(U8*V8*W8,3)</f>
        <v>1.6E-2</v>
      </c>
      <c r="Y8" s="28">
        <f t="shared" ref="Y8:Y13" si="6">ROUND(F8+K8+N8+Q8+T8+X8,3)</f>
        <v>2.0419999999999998</v>
      </c>
    </row>
    <row r="9" spans="1:26" ht="24.75" customHeight="1" x14ac:dyDescent="0.25">
      <c r="A9" s="27" t="s">
        <v>20</v>
      </c>
      <c r="B9" s="28">
        <f>'88 удельный вес расходов'!B6</f>
        <v>0.63500000000000001</v>
      </c>
      <c r="C9" s="28">
        <f>'89  коэф. на удорож стои ЖКУ'!C8</f>
        <v>1.635</v>
      </c>
      <c r="D9" s="28">
        <f>'90 Коэф. дифферен-ии зар. пла'!H9</f>
        <v>2.0008166598611683</v>
      </c>
      <c r="E9" s="28">
        <f>'93 коэф. транспортной доступ'!H8</f>
        <v>1.5209999999999999</v>
      </c>
      <c r="F9" s="28">
        <f t="shared" si="0"/>
        <v>3.16</v>
      </c>
      <c r="G9" s="28">
        <f>'88 удельный вес расходов'!D6</f>
        <v>0.17</v>
      </c>
      <c r="H9" s="28">
        <f>'89  коэф. на удорож стои ЖКУ'!C8</f>
        <v>1.635</v>
      </c>
      <c r="I9" s="28">
        <f>'90 Коэф. дифферен-ии зар. пла'!H9</f>
        <v>2.0008166598611683</v>
      </c>
      <c r="J9" s="28">
        <f>'94 коэф урбанизации'!E8</f>
        <v>1</v>
      </c>
      <c r="K9" s="28">
        <f t="shared" si="1"/>
        <v>0.55600000000000005</v>
      </c>
      <c r="L9" s="28">
        <f>'88 удельный вес расходов'!F6</f>
        <v>4.4999999999999998E-2</v>
      </c>
      <c r="M9" s="28">
        <f>'89  коэф. на удорож стои ЖКУ'!C8</f>
        <v>1.635</v>
      </c>
      <c r="N9" s="28">
        <f t="shared" si="2"/>
        <v>7.3999999999999996E-2</v>
      </c>
      <c r="O9" s="28">
        <f>'88 удельный вес расходов'!H6</f>
        <v>0.06</v>
      </c>
      <c r="P9" s="28">
        <f>'95 коэф. благоустройства'!H7</f>
        <v>1.7028755744483997</v>
      </c>
      <c r="Q9" s="28">
        <f t="shared" si="3"/>
        <v>0.10199999999999999</v>
      </c>
      <c r="R9" s="28">
        <f>'88 удельный вес расходов'!J6</f>
        <v>8.2000000000000003E-2</v>
      </c>
      <c r="S9" s="28">
        <f>'96 структ жил фонда'!F10</f>
        <v>4</v>
      </c>
      <c r="T9" s="28">
        <f t="shared" si="4"/>
        <v>0.32800000000000001</v>
      </c>
      <c r="U9" s="28">
        <f>'88 удельный вес расходов'!L6</f>
        <v>3.2000000000000001E-2</v>
      </c>
      <c r="V9" s="28">
        <f>'97 .коэф. концентр населения'!D10</f>
        <v>0.98360655737704916</v>
      </c>
      <c r="W9" s="28">
        <f>'94 коэф урбанизации'!E8</f>
        <v>1</v>
      </c>
      <c r="X9" s="28">
        <f t="shared" si="5"/>
        <v>3.1E-2</v>
      </c>
      <c r="Y9" s="28">
        <f t="shared" si="6"/>
        <v>4.2510000000000003</v>
      </c>
    </row>
    <row r="10" spans="1:26" ht="24.75" customHeight="1" x14ac:dyDescent="0.25">
      <c r="A10" s="27" t="s">
        <v>21</v>
      </c>
      <c r="B10" s="28">
        <f>'88 удельный вес расходов'!B7</f>
        <v>0.63800000000000001</v>
      </c>
      <c r="C10" s="28">
        <f>'89  коэф. на удорож стои ЖКУ'!C9</f>
        <v>3.5139999999999998</v>
      </c>
      <c r="D10" s="28">
        <f>'90 Коэф. дифферен-ии зар. пла'!H10</f>
        <v>2.0008166598611683</v>
      </c>
      <c r="E10" s="28">
        <f>'93 коэф. транспортной доступ'!H9</f>
        <v>2.2189999999999999</v>
      </c>
      <c r="F10" s="28">
        <f t="shared" si="0"/>
        <v>9.9540000000000006</v>
      </c>
      <c r="G10" s="28">
        <f>'88 удельный вес расходов'!D7</f>
        <v>0.22700000000000001</v>
      </c>
      <c r="H10" s="28">
        <f>'89  коэф. на удорож стои ЖКУ'!C9</f>
        <v>3.5139999999999998</v>
      </c>
      <c r="I10" s="28">
        <f>'90 Коэф. дифферен-ии зар. пла'!H10</f>
        <v>2.0008166598611683</v>
      </c>
      <c r="J10" s="28">
        <f>'94 коэф урбанизации'!E9</f>
        <v>1</v>
      </c>
      <c r="K10" s="28">
        <f t="shared" si="1"/>
        <v>1.5960000000000001</v>
      </c>
      <c r="L10" s="28">
        <f>'88 удельный вес расходов'!F7</f>
        <v>4.0000000000000001E-3</v>
      </c>
      <c r="M10" s="28">
        <f>'89  коэф. на удорож стои ЖКУ'!C9</f>
        <v>3.5139999999999998</v>
      </c>
      <c r="N10" s="28">
        <f t="shared" si="2"/>
        <v>1.4E-2</v>
      </c>
      <c r="O10" s="28">
        <f>'88 удельный вес расходов'!H7</f>
        <v>0.124</v>
      </c>
      <c r="P10" s="28">
        <f>'95 коэф. благоустройства'!H8</f>
        <v>1.2465406920876689</v>
      </c>
      <c r="Q10" s="28">
        <f t="shared" si="3"/>
        <v>0.155</v>
      </c>
      <c r="R10" s="28">
        <f>'88 удельный вес расходов'!J7</f>
        <v>0</v>
      </c>
      <c r="S10" s="28">
        <f>'96 структ жил фонда'!F11</f>
        <v>2.7650000000000001</v>
      </c>
      <c r="T10" s="28">
        <f t="shared" si="4"/>
        <v>0</v>
      </c>
      <c r="U10" s="28">
        <f>'88 удельный вес расходов'!L7</f>
        <v>7.0000000000000001E-3</v>
      </c>
      <c r="V10" s="28">
        <f>'97 .коэф. концентр населения'!D11</f>
        <v>0.97297297297297303</v>
      </c>
      <c r="W10" s="28">
        <f>'94 коэф урбанизации'!E9</f>
        <v>1</v>
      </c>
      <c r="X10" s="28">
        <f t="shared" si="5"/>
        <v>7.0000000000000001E-3</v>
      </c>
      <c r="Y10" s="28">
        <f t="shared" si="6"/>
        <v>11.726000000000001</v>
      </c>
    </row>
    <row r="11" spans="1:26" ht="24.75" customHeight="1" x14ac:dyDescent="0.25">
      <c r="A11" s="27" t="s">
        <v>22</v>
      </c>
      <c r="B11" s="28">
        <f>'88 удельный вес расходов'!B8</f>
        <v>0.73299999999999998</v>
      </c>
      <c r="C11" s="28">
        <f>'89  коэф. на удорож стои ЖКУ'!C10</f>
        <v>1</v>
      </c>
      <c r="D11" s="28">
        <f>'90 Коэф. дифферен-ии зар. пла'!H11</f>
        <v>2.0008166598611683</v>
      </c>
      <c r="E11" s="28">
        <f>'93 коэф. транспортной доступ'!H10</f>
        <v>2.778</v>
      </c>
      <c r="F11" s="28">
        <f t="shared" si="0"/>
        <v>4.0739999999999998</v>
      </c>
      <c r="G11" s="28">
        <f>'88 удельный вес расходов'!D8</f>
        <v>0.13600000000000001</v>
      </c>
      <c r="H11" s="28">
        <f>'89  коэф. на удорож стои ЖКУ'!C10</f>
        <v>1</v>
      </c>
      <c r="I11" s="28">
        <f>'90 Коэф. дифферен-ии зар. пла'!H11</f>
        <v>2.0008166598611683</v>
      </c>
      <c r="J11" s="28">
        <f>'94 коэф урбанизации'!E10</f>
        <v>1</v>
      </c>
      <c r="K11" s="28">
        <f t="shared" si="1"/>
        <v>0.27200000000000002</v>
      </c>
      <c r="L11" s="28">
        <f>'88 удельный вес расходов'!F8</f>
        <v>3.9E-2</v>
      </c>
      <c r="M11" s="28">
        <f>'89  коэф. на удорож стои ЖКУ'!C10</f>
        <v>1</v>
      </c>
      <c r="N11" s="28">
        <f t="shared" si="2"/>
        <v>3.9E-2</v>
      </c>
      <c r="O11" s="28">
        <f>'88 удельный вес расходов'!H8</f>
        <v>7.0999999999999994E-2</v>
      </c>
      <c r="P11" s="28">
        <f>'95 коэф. благоустройства'!H9</f>
        <v>1.192782096965789</v>
      </c>
      <c r="Q11" s="28">
        <f t="shared" si="3"/>
        <v>8.5000000000000006E-2</v>
      </c>
      <c r="R11" s="28">
        <f>'88 удельный вес расходов'!J8</f>
        <v>0</v>
      </c>
      <c r="S11" s="28">
        <f>'96 структ жил фонда'!F12</f>
        <v>17.23</v>
      </c>
      <c r="T11" s="28">
        <f t="shared" si="4"/>
        <v>0</v>
      </c>
      <c r="U11" s="28">
        <f>'88 удельный вес расходов'!L8</f>
        <v>2.1999999999999999E-2</v>
      </c>
      <c r="V11" s="28">
        <f>'97 .коэф. концентр населения'!D12</f>
        <v>0.96116504854368934</v>
      </c>
      <c r="W11" s="28">
        <f>'94 коэф урбанизации'!E10</f>
        <v>1</v>
      </c>
      <c r="X11" s="28">
        <f t="shared" si="5"/>
        <v>2.1000000000000001E-2</v>
      </c>
      <c r="Y11" s="28">
        <f t="shared" si="6"/>
        <v>4.4909999999999997</v>
      </c>
    </row>
    <row r="12" spans="1:26" ht="24.75" customHeight="1" x14ac:dyDescent="0.25">
      <c r="A12" s="27" t="s">
        <v>23</v>
      </c>
      <c r="B12" s="28">
        <f>'88 удельный вес расходов'!B9</f>
        <v>0.78100000000000003</v>
      </c>
      <c r="C12" s="28">
        <f>'89  коэф. на удорож стои ЖКУ'!C11</f>
        <v>1</v>
      </c>
      <c r="D12" s="28">
        <f>'90 Коэф. дифферен-ии зар. пла'!H12</f>
        <v>2.0008166598611683</v>
      </c>
      <c r="E12" s="28">
        <f>'93 коэф. транспортной доступ'!H11</f>
        <v>0.82899999999999996</v>
      </c>
      <c r="F12" s="28">
        <f t="shared" si="0"/>
        <v>1.2949999999999999</v>
      </c>
      <c r="G12" s="28">
        <f>'88 удельный вес расходов'!D9</f>
        <v>0.13600000000000001</v>
      </c>
      <c r="H12" s="28">
        <f>'89  коэф. на удорож стои ЖКУ'!C11</f>
        <v>1</v>
      </c>
      <c r="I12" s="28">
        <f>'90 Коэф. дифферен-ии зар. пла'!H12</f>
        <v>2.0008166598611683</v>
      </c>
      <c r="J12" s="28">
        <f>'94 коэф урбанизации'!E11</f>
        <v>1</v>
      </c>
      <c r="K12" s="28">
        <f t="shared" si="1"/>
        <v>0.27200000000000002</v>
      </c>
      <c r="L12" s="28">
        <f>'88 удельный вес расходов'!F9</f>
        <v>0</v>
      </c>
      <c r="M12" s="28">
        <f>'89  коэф. на удорож стои ЖКУ'!C11</f>
        <v>1</v>
      </c>
      <c r="N12" s="28">
        <f t="shared" si="2"/>
        <v>0</v>
      </c>
      <c r="O12" s="28">
        <f>'88 удельный вес расходов'!H9</f>
        <v>7.6999999999999999E-2</v>
      </c>
      <c r="P12" s="28">
        <f>'95 коэф. благоустройства'!H10</f>
        <v>1.2262493715676328</v>
      </c>
      <c r="Q12" s="28">
        <f t="shared" si="3"/>
        <v>9.4E-2</v>
      </c>
      <c r="R12" s="28">
        <f>'88 удельный вес расходов'!J9</f>
        <v>0</v>
      </c>
      <c r="S12" s="28">
        <f>'96 структ жил фонда'!F13</f>
        <v>4.085</v>
      </c>
      <c r="T12" s="28">
        <f t="shared" si="4"/>
        <v>0</v>
      </c>
      <c r="U12" s="28">
        <f>'88 удельный вес расходов'!L9</f>
        <v>6.0000000000000001E-3</v>
      </c>
      <c r="V12" s="28">
        <f>'97 .коэф. концентр населения'!D13</f>
        <v>1.226</v>
      </c>
      <c r="W12" s="28">
        <f>'94 коэф урбанизации'!E11</f>
        <v>1</v>
      </c>
      <c r="X12" s="28">
        <f t="shared" si="5"/>
        <v>7.0000000000000001E-3</v>
      </c>
      <c r="Y12" s="28">
        <f t="shared" si="6"/>
        <v>1.6679999999999999</v>
      </c>
    </row>
    <row r="13" spans="1:26" ht="24.75" customHeight="1" x14ac:dyDescent="0.25">
      <c r="A13" s="29" t="s">
        <v>17</v>
      </c>
      <c r="B13" s="28">
        <f>'88 удельный вес расходов'!B10</f>
        <v>0.42399999999999999</v>
      </c>
      <c r="C13" s="28">
        <f>'89  коэф. на удорож стои ЖКУ'!C12</f>
        <v>1</v>
      </c>
      <c r="D13" s="28">
        <f>'90 Коэф. дифферен-ии зар. пла'!H13</f>
        <v>1.145943704364639</v>
      </c>
      <c r="E13" s="28">
        <f>'93 коэф. транспортной доступ'!H12</f>
        <v>2</v>
      </c>
      <c r="F13" s="28">
        <f t="shared" si="0"/>
        <v>0.97199999999999998</v>
      </c>
      <c r="G13" s="28">
        <f>'88 удельный вес расходов'!D10</f>
        <v>0.317</v>
      </c>
      <c r="H13" s="28">
        <f>'89  коэф. на удорож стои ЖКУ'!C12</f>
        <v>1</v>
      </c>
      <c r="I13" s="28">
        <f>'90 Коэф. дифферен-ии зар. пла'!H13</f>
        <v>1.145943704364639</v>
      </c>
      <c r="J13" s="28">
        <f>'94 коэф урбанизации'!E12</f>
        <v>1</v>
      </c>
      <c r="K13" s="28">
        <f t="shared" si="1"/>
        <v>0.36299999999999999</v>
      </c>
      <c r="L13" s="28">
        <f>'88 удельный вес расходов'!F10</f>
        <v>2.7E-2</v>
      </c>
      <c r="M13" s="28">
        <f>'89  коэф. на удорож стои ЖКУ'!C12</f>
        <v>1</v>
      </c>
      <c r="N13" s="28">
        <f t="shared" si="2"/>
        <v>2.7E-2</v>
      </c>
      <c r="O13" s="28">
        <f>'88 удельный вес расходов'!H10</f>
        <v>0.13700000000000001</v>
      </c>
      <c r="P13" s="28">
        <f>'95 коэф. благоустройства'!H11</f>
        <v>0</v>
      </c>
      <c r="Q13" s="28">
        <f t="shared" si="3"/>
        <v>0</v>
      </c>
      <c r="R13" s="28">
        <f>'88 удельный вес расходов'!J10</f>
        <v>8.0000000000000002E-3</v>
      </c>
      <c r="S13" s="28">
        <f>'96 структ жил фонда'!F14</f>
        <v>0</v>
      </c>
      <c r="T13" s="28">
        <f t="shared" si="4"/>
        <v>0</v>
      </c>
      <c r="U13" s="28">
        <f>'88 удельный вес расходов'!L10</f>
        <v>7.1999999999999995E-2</v>
      </c>
      <c r="V13" s="28">
        <f>'97 .коэф. концентр населения'!D14</f>
        <v>1.0087730784339399</v>
      </c>
      <c r="W13" s="28">
        <f>'94 коэф урбанизации'!E12</f>
        <v>1</v>
      </c>
      <c r="X13" s="28">
        <f t="shared" si="5"/>
        <v>7.2999999999999995E-2</v>
      </c>
      <c r="Y13" s="28">
        <f t="shared" si="6"/>
        <v>1.4350000000000001</v>
      </c>
      <c r="Z13" s="23"/>
    </row>
  </sheetData>
  <mergeCells count="10">
    <mergeCell ref="U4:X4"/>
    <mergeCell ref="Y4:Y5"/>
    <mergeCell ref="E1:G1"/>
    <mergeCell ref="C2:I2"/>
    <mergeCell ref="A4:A5"/>
    <mergeCell ref="B4:F4"/>
    <mergeCell ref="G4:K4"/>
    <mergeCell ref="L4:N4"/>
    <mergeCell ref="O4:Q4"/>
    <mergeCell ref="R4:T4"/>
  </mergeCells>
  <phoneticPr fontId="0" type="noConversion"/>
  <pageMargins left="0.39370078740157483" right="0.39370078740157483" top="0.98425196850393704" bottom="0.98425196850393704" header="0.31496062992125984" footer="0.31496062992125984"/>
  <pageSetup paperSize="9" scale="71" firstPageNumber="86" orientation="landscape" useFirstPageNumber="1" r:id="rId1"/>
  <headerFooter alignWithMargins="0">
    <oddFooter>&amp;C&amp;P</oddFooter>
  </headerFooter>
  <colBreaks count="1" manualBreakCount="1">
    <brk id="14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Normal="100" workbookViewId="0">
      <selection activeCell="F11" sqref="F11"/>
    </sheetView>
  </sheetViews>
  <sheetFormatPr defaultRowHeight="12.75" x14ac:dyDescent="0.2"/>
  <cols>
    <col min="1" max="1" width="20.140625" style="36" customWidth="1"/>
    <col min="2" max="2" width="15.7109375" style="36" customWidth="1"/>
    <col min="3" max="3" width="16.42578125" style="36" customWidth="1"/>
    <col min="4" max="4" width="16.7109375" style="36" customWidth="1"/>
    <col min="5" max="5" width="16" style="36" customWidth="1"/>
    <col min="6" max="6" width="19" style="36" customWidth="1"/>
    <col min="7" max="7" width="21.85546875" style="36" customWidth="1"/>
    <col min="8" max="8" width="13" style="36" customWidth="1"/>
    <col min="9" max="16384" width="9.140625" style="36"/>
  </cols>
  <sheetData>
    <row r="1" spans="1:8" ht="29.25" customHeight="1" x14ac:dyDescent="0.25">
      <c r="B1" s="188" t="s">
        <v>180</v>
      </c>
      <c r="C1" s="188"/>
      <c r="D1" s="188"/>
      <c r="E1" s="188"/>
      <c r="F1" s="188"/>
      <c r="G1" s="188"/>
    </row>
    <row r="2" spans="1:8" ht="24.75" customHeight="1" x14ac:dyDescent="0.2">
      <c r="A2" s="46" t="s">
        <v>92</v>
      </c>
    </row>
    <row r="3" spans="1:8" ht="124.5" customHeight="1" x14ac:dyDescent="0.2">
      <c r="A3" s="54" t="s">
        <v>1</v>
      </c>
      <c r="B3" s="54" t="s">
        <v>175</v>
      </c>
      <c r="C3" s="54" t="s">
        <v>89</v>
      </c>
      <c r="D3" s="54" t="s">
        <v>113</v>
      </c>
      <c r="E3" s="54" t="s">
        <v>90</v>
      </c>
      <c r="F3" s="54" t="s">
        <v>114</v>
      </c>
      <c r="G3" s="54" t="s">
        <v>91</v>
      </c>
      <c r="H3" s="54" t="s">
        <v>88</v>
      </c>
    </row>
    <row r="4" spans="1:8" ht="15.75" x14ac:dyDescent="0.2">
      <c r="A4" s="57">
        <v>1</v>
      </c>
      <c r="B4" s="57">
        <v>2</v>
      </c>
      <c r="C4" s="57">
        <v>3</v>
      </c>
      <c r="D4" s="57">
        <v>4</v>
      </c>
      <c r="E4" s="57">
        <v>5</v>
      </c>
      <c r="F4" s="57">
        <v>6</v>
      </c>
      <c r="G4" s="57">
        <v>7</v>
      </c>
      <c r="H4" s="57">
        <v>8</v>
      </c>
    </row>
    <row r="5" spans="1:8" ht="18" customHeight="1" x14ac:dyDescent="0.25">
      <c r="A5" s="27" t="s">
        <v>18</v>
      </c>
      <c r="B5" s="19">
        <v>270.10199999999998</v>
      </c>
      <c r="C5" s="19">
        <f>1+B5/B11</f>
        <v>1.387832961680779</v>
      </c>
      <c r="D5" s="19">
        <v>41</v>
      </c>
      <c r="E5" s="19">
        <f>1+D5/D11</f>
        <v>1.5426151402858657</v>
      </c>
      <c r="F5" s="19">
        <v>49.9</v>
      </c>
      <c r="G5" s="19">
        <f>1+F5/F11</f>
        <v>1.4965174129353234</v>
      </c>
      <c r="H5" s="19">
        <f>C5*E5*G5</f>
        <v>3.2038823650450956</v>
      </c>
    </row>
    <row r="6" spans="1:8" ht="18" customHeight="1" x14ac:dyDescent="0.25">
      <c r="A6" s="27" t="s">
        <v>19</v>
      </c>
      <c r="B6" s="19">
        <v>94.474999999999994</v>
      </c>
      <c r="C6" s="19">
        <f>1+B6/B11</f>
        <v>1.1356543789190439</v>
      </c>
      <c r="D6" s="19">
        <v>7.15</v>
      </c>
      <c r="E6" s="19">
        <f>1+D6/D11</f>
        <v>1.0946267866596082</v>
      </c>
      <c r="F6" s="19">
        <v>13.4</v>
      </c>
      <c r="G6" s="19">
        <f>1+F6/F11</f>
        <v>1.1333333333333333</v>
      </c>
      <c r="H6" s="19">
        <f t="shared" ref="H6:H10" si="0">C6*E6*G6</f>
        <v>1.4088667306923417</v>
      </c>
    </row>
    <row r="7" spans="1:8" ht="18" customHeight="1" x14ac:dyDescent="0.25">
      <c r="A7" s="27" t="s">
        <v>20</v>
      </c>
      <c r="B7" s="19">
        <v>189.07</v>
      </c>
      <c r="C7" s="19">
        <f>1+B7/B11</f>
        <v>1.2714810629502369</v>
      </c>
      <c r="D7" s="19">
        <v>12.8</v>
      </c>
      <c r="E7" s="19">
        <f>1+D7/D11</f>
        <v>1.169401799894124</v>
      </c>
      <c r="F7" s="19">
        <v>14.6</v>
      </c>
      <c r="G7" s="19">
        <f>1+F7/F11</f>
        <v>1.1452736318407961</v>
      </c>
      <c r="H7" s="19">
        <f t="shared" si="0"/>
        <v>1.7028755744483997</v>
      </c>
    </row>
    <row r="8" spans="1:8" ht="18" customHeight="1" x14ac:dyDescent="0.25">
      <c r="A8" s="27" t="s">
        <v>21</v>
      </c>
      <c r="B8" s="19">
        <v>71.799000000000007</v>
      </c>
      <c r="C8" s="19">
        <f>1+B8/B11</f>
        <v>1.1030944562266043</v>
      </c>
      <c r="D8" s="19">
        <v>2.31</v>
      </c>
      <c r="E8" s="19">
        <f>1+D8/D11</f>
        <v>1.0305717310746427</v>
      </c>
      <c r="F8" s="19">
        <v>9.6999999999999993</v>
      </c>
      <c r="G8" s="19">
        <f>1+F8/F11</f>
        <v>1.0965174129353235</v>
      </c>
      <c r="H8" s="19">
        <f t="shared" si="0"/>
        <v>1.2465406920876689</v>
      </c>
    </row>
    <row r="9" spans="1:8" ht="18" customHeight="1" x14ac:dyDescent="0.25">
      <c r="A9" s="27" t="s">
        <v>22</v>
      </c>
      <c r="B9" s="19">
        <v>29.792999999999999</v>
      </c>
      <c r="C9" s="19">
        <f>1+B9/B11</f>
        <v>1.0427790517188154</v>
      </c>
      <c r="D9" s="19">
        <v>6</v>
      </c>
      <c r="E9" s="19">
        <f>1+D9/D11</f>
        <v>1.0794070937003706</v>
      </c>
      <c r="F9" s="19">
        <v>6</v>
      </c>
      <c r="G9" s="19">
        <f>1+F9/F11</f>
        <v>1.0597014925373134</v>
      </c>
      <c r="H9" s="19">
        <f t="shared" si="0"/>
        <v>1.192782096965789</v>
      </c>
    </row>
    <row r="10" spans="1:8" ht="18" customHeight="1" x14ac:dyDescent="0.25">
      <c r="A10" s="27" t="s">
        <v>23</v>
      </c>
      <c r="B10" s="19">
        <v>41.2</v>
      </c>
      <c r="C10" s="19">
        <f>1+B10/B11</f>
        <v>1.0591580885045209</v>
      </c>
      <c r="D10" s="19">
        <v>6.3</v>
      </c>
      <c r="E10" s="19">
        <f>1+D10/D11</f>
        <v>1.0833774483853891</v>
      </c>
      <c r="F10" s="19">
        <v>6.9</v>
      </c>
      <c r="G10" s="19">
        <f>1+F10/F11</f>
        <v>1.0686567164179104</v>
      </c>
      <c r="H10" s="19">
        <f t="shared" si="0"/>
        <v>1.2262493715676328</v>
      </c>
    </row>
    <row r="11" spans="1:8" ht="18" customHeight="1" x14ac:dyDescent="0.25">
      <c r="A11" s="58" t="s">
        <v>17</v>
      </c>
      <c r="B11" s="19">
        <f>SUM(B5:B10)</f>
        <v>696.43899999999996</v>
      </c>
      <c r="C11" s="19"/>
      <c r="D11" s="19">
        <f>SUM(D5:D10)</f>
        <v>75.56</v>
      </c>
      <c r="E11" s="19"/>
      <c r="F11" s="19">
        <f>SUM(F5:F10)</f>
        <v>100.5</v>
      </c>
      <c r="G11" s="19"/>
      <c r="H11" s="19"/>
    </row>
    <row r="12" spans="1:8" ht="15.75" x14ac:dyDescent="0.25">
      <c r="B12" s="22"/>
      <c r="C12" s="22"/>
      <c r="D12" s="22"/>
      <c r="E12" s="22"/>
      <c r="F12" s="22"/>
      <c r="G12" s="22"/>
      <c r="H12" s="22"/>
    </row>
  </sheetData>
  <mergeCells count="1">
    <mergeCell ref="B1:G1"/>
  </mergeCells>
  <pageMargins left="0.70866141732283472" right="0.70866141732283472" top="0.74803149606299213" bottom="0.74803149606299213" header="0.31496062992125984" footer="0.31496062992125984"/>
  <pageSetup paperSize="9" scale="96" firstPageNumber="95" orientation="landscape" useFirstPageNumber="1" r:id="rId1"/>
  <headerFoot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opLeftCell="A2" zoomScaleNormal="100" workbookViewId="0">
      <selection activeCell="D25" sqref="D24:D25"/>
    </sheetView>
  </sheetViews>
  <sheetFormatPr defaultRowHeight="12.75" x14ac:dyDescent="0.2"/>
  <cols>
    <col min="1" max="1" width="19" style="36" customWidth="1"/>
    <col min="2" max="2" width="20.42578125" style="36" customWidth="1"/>
    <col min="3" max="4" width="22" style="36" customWidth="1"/>
    <col min="5" max="5" width="26.140625" style="36" customWidth="1"/>
    <col min="6" max="6" width="18.7109375" style="36" customWidth="1"/>
    <col min="7" max="16384" width="9.140625" style="36"/>
  </cols>
  <sheetData>
    <row r="1" spans="1:7" ht="15.75" x14ac:dyDescent="0.25">
      <c r="A1" s="189" t="s">
        <v>24</v>
      </c>
      <c r="B1" s="189"/>
      <c r="C1" s="189"/>
      <c r="D1" s="189"/>
      <c r="E1" s="189"/>
      <c r="F1" s="189"/>
      <c r="G1" s="22"/>
    </row>
    <row r="2" spans="1:7" ht="15.75" x14ac:dyDescent="0.25">
      <c r="A2" s="59"/>
      <c r="B2" s="59"/>
      <c r="C2" s="59"/>
      <c r="D2" s="59"/>
      <c r="E2" s="59"/>
      <c r="F2" s="59"/>
      <c r="G2" s="22"/>
    </row>
    <row r="3" spans="1:7" ht="15.75" x14ac:dyDescent="0.25">
      <c r="A3" s="179" t="s">
        <v>181</v>
      </c>
      <c r="B3" s="179"/>
      <c r="C3" s="179"/>
      <c r="D3" s="179"/>
      <c r="E3" s="179"/>
      <c r="F3" s="179"/>
      <c r="G3" s="22"/>
    </row>
    <row r="4" spans="1:7" ht="15.75" x14ac:dyDescent="0.25">
      <c r="A4" s="60" t="s">
        <v>93</v>
      </c>
      <c r="B4" s="60"/>
      <c r="C4" s="60"/>
      <c r="D4" s="60"/>
      <c r="E4" s="60"/>
      <c r="F4" s="60"/>
      <c r="G4" s="22"/>
    </row>
    <row r="5" spans="1:7" ht="15.75" x14ac:dyDescent="0.25">
      <c r="A5" s="180" t="s">
        <v>25</v>
      </c>
      <c r="B5" s="180" t="s">
        <v>171</v>
      </c>
      <c r="C5" s="180" t="s">
        <v>172</v>
      </c>
      <c r="D5" s="180" t="s">
        <v>29</v>
      </c>
      <c r="E5" s="180" t="s">
        <v>30</v>
      </c>
      <c r="F5" s="180" t="s">
        <v>94</v>
      </c>
      <c r="G5" s="22"/>
    </row>
    <row r="6" spans="1:7" ht="82.5" customHeight="1" x14ac:dyDescent="0.25">
      <c r="A6" s="180"/>
      <c r="B6" s="180"/>
      <c r="C6" s="180"/>
      <c r="D6" s="180"/>
      <c r="E6" s="180"/>
      <c r="F6" s="180"/>
      <c r="G6" s="22"/>
    </row>
    <row r="7" spans="1:7" ht="15.75" x14ac:dyDescent="0.25">
      <c r="A7" s="37">
        <v>1</v>
      </c>
      <c r="B7" s="38">
        <v>2</v>
      </c>
      <c r="C7" s="38">
        <v>3</v>
      </c>
      <c r="D7" s="38">
        <v>4</v>
      </c>
      <c r="E7" s="38">
        <v>5</v>
      </c>
      <c r="F7" s="38">
        <v>6</v>
      </c>
      <c r="G7" s="22"/>
    </row>
    <row r="8" spans="1:7" ht="18" customHeight="1" x14ac:dyDescent="0.25">
      <c r="A8" s="27" t="s">
        <v>18</v>
      </c>
      <c r="B8" s="81">
        <v>6589</v>
      </c>
      <c r="C8" s="76">
        <v>6301.3</v>
      </c>
      <c r="D8" s="77">
        <v>1.087</v>
      </c>
      <c r="E8" s="77"/>
      <c r="F8" s="78">
        <f>ROUND(D8/E14,3)</f>
        <v>0.52500000000000002</v>
      </c>
      <c r="G8" s="22"/>
    </row>
    <row r="9" spans="1:7" ht="18" customHeight="1" x14ac:dyDescent="0.25">
      <c r="A9" s="27" t="s">
        <v>19</v>
      </c>
      <c r="B9" s="81">
        <v>369</v>
      </c>
      <c r="C9" s="76">
        <v>915</v>
      </c>
      <c r="D9" s="77">
        <f t="shared" ref="D9:D10" si="0">C9/B9</f>
        <v>2.4796747967479673</v>
      </c>
      <c r="E9" s="77"/>
      <c r="F9" s="78">
        <f>ROUND(D9/E14,3)</f>
        <v>1.198</v>
      </c>
      <c r="G9" s="22"/>
    </row>
    <row r="10" spans="1:7" ht="18" customHeight="1" x14ac:dyDescent="0.25">
      <c r="A10" s="27" t="s">
        <v>20</v>
      </c>
      <c r="B10" s="81">
        <v>366</v>
      </c>
      <c r="C10" s="76">
        <v>3200</v>
      </c>
      <c r="D10" s="77">
        <f t="shared" si="0"/>
        <v>8.7431693989071047</v>
      </c>
      <c r="E10" s="77"/>
      <c r="F10" s="78">
        <f>ROUND(D10/E14,)</f>
        <v>4</v>
      </c>
      <c r="G10" s="22"/>
    </row>
    <row r="11" spans="1:7" ht="18" customHeight="1" x14ac:dyDescent="0.25">
      <c r="A11" s="27" t="s">
        <v>21</v>
      </c>
      <c r="B11" s="81">
        <v>148</v>
      </c>
      <c r="C11" s="76">
        <v>898</v>
      </c>
      <c r="D11" s="77">
        <v>5.72</v>
      </c>
      <c r="E11" s="77"/>
      <c r="F11" s="78">
        <f>ROUND(D11/E14,3)</f>
        <v>2.7650000000000001</v>
      </c>
      <c r="G11" s="22"/>
    </row>
    <row r="12" spans="1:7" ht="18" customHeight="1" x14ac:dyDescent="0.25">
      <c r="A12" s="27" t="s">
        <v>22</v>
      </c>
      <c r="B12" s="81">
        <v>103</v>
      </c>
      <c r="C12" s="76">
        <v>3885.7</v>
      </c>
      <c r="D12" s="77">
        <v>35.649000000000001</v>
      </c>
      <c r="E12" s="77"/>
      <c r="F12" s="78">
        <f>ROUND(D12/E14,3)</f>
        <v>17.23</v>
      </c>
      <c r="G12" s="22"/>
    </row>
    <row r="13" spans="1:7" ht="18" customHeight="1" x14ac:dyDescent="0.25">
      <c r="A13" s="27" t="s">
        <v>23</v>
      </c>
      <c r="B13" s="81">
        <v>62</v>
      </c>
      <c r="C13" s="76">
        <v>600</v>
      </c>
      <c r="D13" s="77">
        <v>8.4510000000000005</v>
      </c>
      <c r="E13" s="77"/>
      <c r="F13" s="78">
        <f>ROUND(D13/E14,3)</f>
        <v>4.085</v>
      </c>
      <c r="G13" s="22"/>
    </row>
    <row r="14" spans="1:7" ht="15.75" x14ac:dyDescent="0.25">
      <c r="A14" s="41" t="s">
        <v>17</v>
      </c>
      <c r="B14" s="42">
        <f>B8+B9+B10+B11+B12+B13</f>
        <v>7637</v>
      </c>
      <c r="C14" s="79">
        <f>C8+C9+C10+C11+C12+C13</f>
        <v>15800</v>
      </c>
      <c r="D14" s="80">
        <f>C14/B14</f>
        <v>2.0688752127798873</v>
      </c>
      <c r="E14" s="80">
        <f>ROUND(C14/B14,3)</f>
        <v>2.069</v>
      </c>
      <c r="F14" s="80"/>
      <c r="G14" s="22"/>
    </row>
    <row r="15" spans="1:7" ht="15.75" x14ac:dyDescent="0.25">
      <c r="A15" s="22"/>
      <c r="B15" s="22"/>
      <c r="C15" s="22"/>
      <c r="D15" s="22"/>
      <c r="E15" s="22"/>
      <c r="F15" s="22"/>
      <c r="G15" s="22"/>
    </row>
    <row r="16" spans="1:7" ht="15.75" x14ac:dyDescent="0.25">
      <c r="A16" s="22" t="s">
        <v>95</v>
      </c>
      <c r="B16" s="22"/>
      <c r="C16" s="22"/>
      <c r="D16" s="22"/>
      <c r="E16" s="22"/>
      <c r="F16" s="22"/>
      <c r="G16" s="22"/>
    </row>
    <row r="17" spans="1:7" ht="15.75" x14ac:dyDescent="0.25">
      <c r="A17" s="22"/>
      <c r="B17" s="22"/>
      <c r="C17" s="22"/>
      <c r="D17" s="22"/>
      <c r="E17" s="22"/>
      <c r="F17" s="22"/>
      <c r="G17" s="22"/>
    </row>
    <row r="18" spans="1:7" ht="15.75" x14ac:dyDescent="0.25">
      <c r="A18" s="22" t="s">
        <v>41</v>
      </c>
      <c r="B18" s="22"/>
      <c r="C18" s="22"/>
      <c r="D18" s="22"/>
      <c r="E18" s="22"/>
      <c r="F18" s="22"/>
      <c r="G18" s="22"/>
    </row>
    <row r="19" spans="1:7" ht="15.75" x14ac:dyDescent="0.25">
      <c r="A19" s="22" t="s">
        <v>42</v>
      </c>
      <c r="B19" s="22"/>
      <c r="C19" s="22"/>
      <c r="D19" s="22"/>
      <c r="E19" s="22"/>
      <c r="F19" s="22"/>
      <c r="G19" s="22"/>
    </row>
    <row r="20" spans="1:7" ht="15.75" x14ac:dyDescent="0.25">
      <c r="A20" s="22"/>
      <c r="B20" s="22"/>
      <c r="C20" s="22"/>
      <c r="D20" s="22"/>
      <c r="E20" s="22"/>
      <c r="F20" s="22"/>
      <c r="G20" s="22"/>
    </row>
  </sheetData>
  <mergeCells count="8">
    <mergeCell ref="A1:F1"/>
    <mergeCell ref="A3:F3"/>
    <mergeCell ref="A5:A6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firstPageNumber="96" orientation="landscape" useFirstPageNumber="1" r:id="rId1"/>
  <headerFoot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Normal="100" workbookViewId="0">
      <selection activeCell="G14" sqref="G13:G14"/>
    </sheetView>
  </sheetViews>
  <sheetFormatPr defaultRowHeight="12.75" x14ac:dyDescent="0.2"/>
  <cols>
    <col min="1" max="1" width="19.42578125" style="36" customWidth="1"/>
    <col min="2" max="2" width="16.140625" style="36" customWidth="1"/>
    <col min="3" max="3" width="24" style="36" customWidth="1"/>
    <col min="4" max="4" width="25.28515625" style="36" customWidth="1"/>
    <col min="5" max="16384" width="9.140625" style="36"/>
  </cols>
  <sheetData>
    <row r="1" spans="1:6" ht="15.75" x14ac:dyDescent="0.25">
      <c r="A1" s="163" t="s">
        <v>0</v>
      </c>
      <c r="B1" s="190"/>
      <c r="C1" s="190"/>
      <c r="D1" s="190"/>
      <c r="E1" s="22"/>
      <c r="F1" s="22"/>
    </row>
    <row r="2" spans="1:6" ht="15.75" x14ac:dyDescent="0.25">
      <c r="A2" s="163" t="s">
        <v>27</v>
      </c>
      <c r="B2" s="172"/>
      <c r="C2" s="172"/>
      <c r="D2" s="172"/>
      <c r="E2" s="156"/>
      <c r="F2" s="156"/>
    </row>
    <row r="3" spans="1:6" ht="15.75" x14ac:dyDescent="0.25">
      <c r="A3" s="163" t="s">
        <v>115</v>
      </c>
      <c r="B3" s="172"/>
      <c r="C3" s="172"/>
      <c r="D3" s="172"/>
      <c r="E3" s="156"/>
      <c r="F3" s="156"/>
    </row>
    <row r="4" spans="1:6" ht="15.75" x14ac:dyDescent="0.25">
      <c r="A4" s="22"/>
      <c r="B4" s="22"/>
      <c r="C4" s="22"/>
      <c r="D4" s="22"/>
      <c r="E4" s="22"/>
      <c r="F4" s="22"/>
    </row>
    <row r="5" spans="1:6" ht="15.75" x14ac:dyDescent="0.25">
      <c r="A5" s="22" t="s">
        <v>97</v>
      </c>
      <c r="B5" s="22"/>
      <c r="C5" s="22"/>
      <c r="D5" s="22"/>
      <c r="E5" s="22"/>
      <c r="F5" s="22"/>
    </row>
    <row r="6" spans="1:6" ht="109.5" customHeight="1" x14ac:dyDescent="0.25">
      <c r="A6" s="54" t="s">
        <v>1</v>
      </c>
      <c r="B6" s="54" t="s">
        <v>173</v>
      </c>
      <c r="C6" s="54" t="s">
        <v>174</v>
      </c>
      <c r="D6" s="54" t="s">
        <v>96</v>
      </c>
      <c r="E6" s="22"/>
      <c r="F6" s="22"/>
    </row>
    <row r="7" spans="1:6" ht="15.75" x14ac:dyDescent="0.25">
      <c r="A7" s="38">
        <v>1</v>
      </c>
      <c r="B7" s="38">
        <v>2</v>
      </c>
      <c r="C7" s="38">
        <v>3</v>
      </c>
      <c r="D7" s="38">
        <v>4</v>
      </c>
      <c r="E7" s="22"/>
      <c r="F7" s="22"/>
    </row>
    <row r="8" spans="1:6" ht="19.5" customHeight="1" x14ac:dyDescent="0.25">
      <c r="A8" s="27" t="s">
        <v>18</v>
      </c>
      <c r="B8" s="81">
        <v>6589</v>
      </c>
      <c r="C8" s="38">
        <v>6526</v>
      </c>
      <c r="D8" s="39">
        <f>1+ROUND((B8-C8)/B8,3)</f>
        <v>1.01</v>
      </c>
      <c r="E8" s="22"/>
      <c r="F8" s="22"/>
    </row>
    <row r="9" spans="1:6" ht="19.5" customHeight="1" x14ac:dyDescent="0.25">
      <c r="A9" s="27" t="s">
        <v>19</v>
      </c>
      <c r="B9" s="81">
        <v>369</v>
      </c>
      <c r="C9" s="81">
        <v>365</v>
      </c>
      <c r="D9" s="39">
        <f t="shared" ref="D9:D14" si="0">1+(B9-C9)/B9</f>
        <v>1.0108401084010841</v>
      </c>
      <c r="E9" s="22"/>
      <c r="F9" s="22"/>
    </row>
    <row r="10" spans="1:6" ht="19.5" customHeight="1" x14ac:dyDescent="0.25">
      <c r="A10" s="27" t="s">
        <v>20</v>
      </c>
      <c r="B10" s="81">
        <v>366</v>
      </c>
      <c r="C10" s="81">
        <v>372</v>
      </c>
      <c r="D10" s="39">
        <f t="shared" si="0"/>
        <v>0.98360655737704916</v>
      </c>
      <c r="E10" s="22"/>
      <c r="F10" s="22"/>
    </row>
    <row r="11" spans="1:6" ht="19.5" customHeight="1" x14ac:dyDescent="0.25">
      <c r="A11" s="27" t="s">
        <v>21</v>
      </c>
      <c r="B11" s="81">
        <v>148</v>
      </c>
      <c r="C11" s="81">
        <v>152</v>
      </c>
      <c r="D11" s="39">
        <f t="shared" si="0"/>
        <v>0.97297297297297303</v>
      </c>
      <c r="E11" s="22"/>
      <c r="F11" s="22"/>
    </row>
    <row r="12" spans="1:6" ht="19.5" customHeight="1" x14ac:dyDescent="0.25">
      <c r="A12" s="27" t="s">
        <v>22</v>
      </c>
      <c r="B12" s="81">
        <v>103</v>
      </c>
      <c r="C12" s="81">
        <v>107</v>
      </c>
      <c r="D12" s="39">
        <f t="shared" si="0"/>
        <v>0.96116504854368934</v>
      </c>
      <c r="E12" s="22"/>
      <c r="F12" s="22"/>
    </row>
    <row r="13" spans="1:6" ht="19.5" customHeight="1" x14ac:dyDescent="0.25">
      <c r="A13" s="27" t="s">
        <v>23</v>
      </c>
      <c r="B13" s="81">
        <v>62</v>
      </c>
      <c r="C13" s="38">
        <v>48</v>
      </c>
      <c r="D13" s="39">
        <f>1+ROUND((B13-C13)/B13,3)</f>
        <v>1.226</v>
      </c>
      <c r="E13" s="22"/>
      <c r="F13" s="22"/>
    </row>
    <row r="14" spans="1:6" ht="15.75" x14ac:dyDescent="0.25">
      <c r="A14" s="61" t="s">
        <v>17</v>
      </c>
      <c r="B14" s="38">
        <f>B10+B11+B12+B13+B8+B9</f>
        <v>7637</v>
      </c>
      <c r="C14" s="38">
        <f>C10+C11+C12+C13+C8+C9</f>
        <v>7570</v>
      </c>
      <c r="D14" s="39">
        <f t="shared" si="0"/>
        <v>1.0087730784339399</v>
      </c>
      <c r="E14" s="22"/>
      <c r="F14" s="22"/>
    </row>
    <row r="15" spans="1:6" ht="15.75" x14ac:dyDescent="0.25">
      <c r="A15" s="22"/>
      <c r="B15" s="22"/>
      <c r="C15" s="22"/>
      <c r="D15" s="22"/>
      <c r="E15" s="22"/>
      <c r="F15" s="22"/>
    </row>
  </sheetData>
  <mergeCells count="3">
    <mergeCell ref="A1:D1"/>
    <mergeCell ref="A2:D2"/>
    <mergeCell ref="A3:D3"/>
  </mergeCells>
  <pageMargins left="0.70866141732283472" right="0.70866141732283472" top="0.74803149606299213" bottom="0.74803149606299213" header="0.31496062992125984" footer="0.31496062992125984"/>
  <pageSetup paperSize="9" firstPageNumber="97" orientation="portrait" useFirstPageNumber="1" r:id="rId1"/>
  <headerFoot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40"/>
  <sheetViews>
    <sheetView tabSelected="1" view="pageBreakPreview" zoomScale="60" zoomScaleNormal="100" workbookViewId="0">
      <selection activeCell="L42" sqref="L42"/>
    </sheetView>
  </sheetViews>
  <sheetFormatPr defaultRowHeight="12.75" x14ac:dyDescent="0.2"/>
  <cols>
    <col min="1" max="1" width="16.28515625" style="95" customWidth="1"/>
    <col min="2" max="3" width="13" style="95" customWidth="1"/>
    <col min="4" max="4" width="9.140625" style="95" customWidth="1"/>
    <col min="5" max="5" width="10.42578125" style="95" customWidth="1"/>
    <col min="6" max="6" width="12.140625" style="97" customWidth="1"/>
    <col min="7" max="7" width="11" style="95" customWidth="1"/>
    <col min="8" max="8" width="11.7109375" style="95" customWidth="1"/>
    <col min="9" max="9" width="11.85546875" style="95" customWidth="1"/>
    <col min="10" max="10" width="9.140625" style="95" customWidth="1"/>
    <col min="11" max="11" width="11.42578125" style="95" customWidth="1"/>
    <col min="12" max="12" width="10.85546875" style="95" customWidth="1"/>
    <col min="13" max="13" width="11.85546875" style="95" customWidth="1"/>
    <col min="14" max="14" width="10.42578125" style="95" customWidth="1"/>
    <col min="15" max="15" width="14.140625" style="95" customWidth="1"/>
    <col min="16" max="16" width="19" style="95" customWidth="1"/>
    <col min="17" max="17" width="10.42578125" style="97" customWidth="1"/>
    <col min="18" max="18" width="10.5703125" style="95" customWidth="1"/>
    <col min="19" max="19" width="12.28515625" style="95" customWidth="1"/>
    <col min="20" max="20" width="11.7109375" style="97" customWidth="1"/>
    <col min="21" max="21" width="11.28515625" style="97" customWidth="1"/>
    <col min="22" max="22" width="15.7109375" style="95" customWidth="1"/>
    <col min="23" max="23" width="6.7109375" style="95" customWidth="1"/>
    <col min="24" max="24" width="14" style="95" customWidth="1"/>
    <col min="25" max="25" width="12.28515625" style="95" customWidth="1"/>
    <col min="26" max="26" width="8.5703125" style="95" customWidth="1"/>
    <col min="27" max="27" width="11.85546875" style="97" customWidth="1"/>
    <col min="28" max="29" width="11" style="95" customWidth="1"/>
    <col min="30" max="30" width="11" style="95" hidden="1" customWidth="1"/>
    <col min="31" max="31" width="12.85546875" style="95" customWidth="1"/>
    <col min="32" max="32" width="11.5703125" style="95" hidden="1" customWidth="1"/>
    <col min="33" max="16384" width="9.140625" style="95"/>
  </cols>
  <sheetData>
    <row r="2" spans="1:32" x14ac:dyDescent="0.2">
      <c r="G2" s="167" t="s">
        <v>0</v>
      </c>
      <c r="H2" s="167"/>
    </row>
    <row r="3" spans="1:32" x14ac:dyDescent="0.2">
      <c r="D3" s="167" t="s">
        <v>118</v>
      </c>
      <c r="E3" s="167"/>
      <c r="F3" s="167"/>
      <c r="G3" s="167"/>
      <c r="H3" s="167"/>
      <c r="I3" s="167"/>
      <c r="J3" s="167"/>
      <c r="K3" s="167"/>
      <c r="L3" s="168"/>
    </row>
    <row r="6" spans="1:32" ht="140.25" x14ac:dyDescent="0.2">
      <c r="A6" s="104" t="s">
        <v>119</v>
      </c>
      <c r="B6" s="104" t="s">
        <v>120</v>
      </c>
      <c r="C6" s="104" t="s">
        <v>121</v>
      </c>
      <c r="D6" s="104" t="s">
        <v>122</v>
      </c>
      <c r="E6" s="104" t="s">
        <v>123</v>
      </c>
      <c r="F6" s="105" t="s">
        <v>124</v>
      </c>
      <c r="G6" s="104" t="s">
        <v>125</v>
      </c>
      <c r="H6" s="104" t="s">
        <v>126</v>
      </c>
      <c r="I6" s="106" t="s">
        <v>127</v>
      </c>
      <c r="J6" s="104" t="s">
        <v>128</v>
      </c>
      <c r="K6" s="104" t="s">
        <v>129</v>
      </c>
      <c r="L6" s="104" t="s">
        <v>130</v>
      </c>
      <c r="M6" s="104" t="s">
        <v>131</v>
      </c>
      <c r="N6" s="104" t="s">
        <v>132</v>
      </c>
      <c r="O6" s="104" t="s">
        <v>133</v>
      </c>
      <c r="P6" s="104" t="s">
        <v>134</v>
      </c>
      <c r="Q6" s="105" t="s">
        <v>135</v>
      </c>
      <c r="R6" s="104" t="s">
        <v>136</v>
      </c>
      <c r="S6" s="107" t="s">
        <v>137</v>
      </c>
      <c r="T6" s="105" t="s">
        <v>138</v>
      </c>
      <c r="U6" s="105" t="s">
        <v>139</v>
      </c>
      <c r="V6" s="104" t="s">
        <v>140</v>
      </c>
      <c r="W6" s="104" t="s">
        <v>141</v>
      </c>
      <c r="X6" s="104" t="s">
        <v>142</v>
      </c>
      <c r="Y6" s="104" t="s">
        <v>143</v>
      </c>
      <c r="Z6" s="108" t="s">
        <v>144</v>
      </c>
      <c r="AA6" s="109" t="s">
        <v>145</v>
      </c>
      <c r="AB6" s="109" t="s">
        <v>146</v>
      </c>
      <c r="AC6" s="109"/>
      <c r="AD6" s="109"/>
      <c r="AE6" s="109" t="s">
        <v>147</v>
      </c>
      <c r="AF6" s="110" t="s">
        <v>148</v>
      </c>
    </row>
    <row r="7" spans="1:32" x14ac:dyDescent="0.2">
      <c r="A7" s="111">
        <v>1</v>
      </c>
      <c r="B7" s="111">
        <v>2</v>
      </c>
      <c r="C7" s="111">
        <v>2</v>
      </c>
      <c r="D7" s="111">
        <v>3</v>
      </c>
      <c r="E7" s="111">
        <v>4</v>
      </c>
      <c r="F7" s="112">
        <v>5</v>
      </c>
      <c r="G7" s="111">
        <v>6</v>
      </c>
      <c r="H7" s="111">
        <v>7</v>
      </c>
      <c r="I7" s="113">
        <v>8</v>
      </c>
      <c r="J7" s="111">
        <v>9</v>
      </c>
      <c r="K7" s="111">
        <v>10</v>
      </c>
      <c r="L7" s="111">
        <v>11</v>
      </c>
      <c r="M7" s="111">
        <v>12</v>
      </c>
      <c r="N7" s="111">
        <v>13</v>
      </c>
      <c r="O7" s="111">
        <v>14</v>
      </c>
      <c r="P7" s="111">
        <v>15</v>
      </c>
      <c r="Q7" s="112">
        <v>16</v>
      </c>
      <c r="R7" s="111">
        <v>17</v>
      </c>
      <c r="S7" s="114">
        <v>18</v>
      </c>
      <c r="T7" s="115">
        <v>19</v>
      </c>
      <c r="U7" s="115">
        <v>20</v>
      </c>
      <c r="V7" s="111">
        <v>21</v>
      </c>
      <c r="W7" s="111">
        <v>22</v>
      </c>
      <c r="X7" s="111">
        <v>23</v>
      </c>
      <c r="Y7" s="111">
        <v>23</v>
      </c>
      <c r="Z7" s="111">
        <v>24</v>
      </c>
      <c r="AA7" s="116"/>
      <c r="AB7" s="116"/>
      <c r="AC7" s="116"/>
      <c r="AD7" s="116"/>
      <c r="AE7" s="116"/>
      <c r="AF7" s="117"/>
    </row>
    <row r="8" spans="1:32" x14ac:dyDescent="0.2">
      <c r="A8" s="118" t="s">
        <v>18</v>
      </c>
      <c r="B8" s="144">
        <v>6589</v>
      </c>
      <c r="C8" s="145">
        <f>B8</f>
        <v>6589</v>
      </c>
      <c r="D8" s="119"/>
      <c r="E8" s="119"/>
      <c r="F8" s="120">
        <f>ROUND(E14*C8/1000,3)</f>
        <v>8815.7309999999998</v>
      </c>
      <c r="G8" s="121">
        <f>SUM(B17:B19)</f>
        <v>36779.699999999997</v>
      </c>
      <c r="H8" s="134">
        <f t="shared" ref="H8:H14" si="0">ROUND(G8/C8*1000,2)</f>
        <v>5581.99</v>
      </c>
      <c r="I8" s="122">
        <f>ROUND(H8/H14,3)</f>
        <v>1.006</v>
      </c>
      <c r="J8" s="123">
        <f>'86 индекс бюдж-ых расходов'!Y7</f>
        <v>1.103</v>
      </c>
      <c r="K8" s="124">
        <f>ROUND(I8/J8,3)</f>
        <v>0.91200000000000003</v>
      </c>
      <c r="L8" s="119"/>
      <c r="M8" s="119"/>
      <c r="N8" s="119"/>
      <c r="O8" s="125">
        <f>N14-K8</f>
        <v>0.64699999999999991</v>
      </c>
      <c r="P8" s="98">
        <f>ROUND(H12*C8*J8*O8,1)</f>
        <v>181485924.69999999</v>
      </c>
      <c r="Q8" s="120">
        <f>ROUND(M14/P14*P8,3)</f>
        <v>10203.751</v>
      </c>
      <c r="R8" s="119"/>
      <c r="S8" s="126">
        <f>ROUND(B8*K8/1000,3)</f>
        <v>6.0090000000000003</v>
      </c>
      <c r="T8" s="120">
        <f>ROUND(R14*S8/S14,3)</f>
        <v>2515.8200000000002</v>
      </c>
      <c r="U8" s="141">
        <f>F8+Q8+T8</f>
        <v>21535.302</v>
      </c>
      <c r="V8" s="128">
        <f>K8</f>
        <v>0.91200000000000003</v>
      </c>
      <c r="W8" s="129">
        <v>1</v>
      </c>
      <c r="X8" s="130">
        <f t="shared" ref="X8:X14" si="1">(G8+U8)/C8*1000</f>
        <v>8850.3569585673085</v>
      </c>
      <c r="Y8" s="131">
        <f t="shared" ref="Y8:Y13" si="2">K8+(G8+U8-F8)/(C8/1000*J8*L$14)</f>
        <v>1.1717430973971295</v>
      </c>
      <c r="Z8" s="132">
        <v>1</v>
      </c>
      <c r="AA8" s="98">
        <f>B22</f>
        <v>68873.475000000006</v>
      </c>
      <c r="AB8" s="121">
        <f>B21</f>
        <v>42040.103000000003</v>
      </c>
      <c r="AC8" s="121">
        <f>AA8-AB8</f>
        <v>26833.372000000003</v>
      </c>
      <c r="AD8" s="121">
        <f>AC8-U8</f>
        <v>5298.0700000000033</v>
      </c>
      <c r="AE8" s="98">
        <f t="shared" ref="AE8:AE13" si="3">AA8-AB8-U8</f>
        <v>5298.0700000000033</v>
      </c>
      <c r="AF8" s="94">
        <f>AA8-AB8</f>
        <v>26833.372000000003</v>
      </c>
    </row>
    <row r="9" spans="1:32" x14ac:dyDescent="0.2">
      <c r="A9" s="118" t="s">
        <v>19</v>
      </c>
      <c r="B9" s="144">
        <v>369</v>
      </c>
      <c r="C9" s="145">
        <f t="shared" ref="C9:C13" si="4">B9</f>
        <v>369</v>
      </c>
      <c r="D9" s="119"/>
      <c r="E9" s="119"/>
      <c r="F9" s="120">
        <f>ROUND(E14*C9/1000,3)</f>
        <v>493.702</v>
      </c>
      <c r="G9" s="121">
        <f>SUM(C17:C19)</f>
        <v>627.52700000000004</v>
      </c>
      <c r="H9" s="134">
        <f t="shared" si="0"/>
        <v>1700.62</v>
      </c>
      <c r="I9" s="122">
        <f>ROUND(H9/H14,3)</f>
        <v>0.30599999999999999</v>
      </c>
      <c r="J9" s="123">
        <f>'86 индекс бюдж-ых расходов'!Y8</f>
        <v>2.0419999999999998</v>
      </c>
      <c r="K9" s="126">
        <f t="shared" ref="K9:K12" si="5">ROUND(I9/J9,3)</f>
        <v>0.15</v>
      </c>
      <c r="L9" s="119"/>
      <c r="M9" s="119"/>
      <c r="N9" s="119"/>
      <c r="O9" s="125">
        <f>N14-K9</f>
        <v>1.409</v>
      </c>
      <c r="P9" s="98">
        <f>ROUND(H12*J9*O9*C9,3)</f>
        <v>40976677.811999999</v>
      </c>
      <c r="Q9" s="120">
        <f>ROUND(M14/P14*P9,3)</f>
        <v>2303.8470000000002</v>
      </c>
      <c r="R9" s="119"/>
      <c r="S9" s="126">
        <f>ROUND(B9*K9/1000,3)</f>
        <v>5.5E-2</v>
      </c>
      <c r="T9" s="120">
        <f>ROUND(R14*S9/S14,3)</f>
        <v>23.027000000000001</v>
      </c>
      <c r="U9" s="141">
        <f t="shared" ref="U9:U13" si="6">F9+Q9+T9</f>
        <v>2820.576</v>
      </c>
      <c r="V9" s="128">
        <f t="shared" ref="V9:V13" si="7">K9</f>
        <v>0.15</v>
      </c>
      <c r="W9" s="129">
        <v>4</v>
      </c>
      <c r="X9" s="130">
        <f t="shared" si="1"/>
        <v>9344.4525745257451</v>
      </c>
      <c r="Y9" s="131">
        <f t="shared" si="2"/>
        <v>0.29952973716372977</v>
      </c>
      <c r="Z9" s="132">
        <v>4</v>
      </c>
      <c r="AA9" s="98">
        <f>C22</f>
        <v>8048.0529999999999</v>
      </c>
      <c r="AB9" s="121">
        <f>C21</f>
        <v>1445.5</v>
      </c>
      <c r="AC9" s="121">
        <f t="shared" ref="AC9:AC13" si="8">AA9-AB9</f>
        <v>6602.5529999999999</v>
      </c>
      <c r="AD9" s="121">
        <f t="shared" ref="AD9:AD13" si="9">AC9-U9</f>
        <v>3781.9769999999999</v>
      </c>
      <c r="AE9" s="98">
        <f t="shared" si="3"/>
        <v>3781.9769999999999</v>
      </c>
      <c r="AF9" s="94">
        <f t="shared" ref="AF9:AF13" si="10">AA9-AB9</f>
        <v>6602.5529999999999</v>
      </c>
    </row>
    <row r="10" spans="1:32" x14ac:dyDescent="0.2">
      <c r="A10" s="118" t="s">
        <v>20</v>
      </c>
      <c r="B10" s="144">
        <v>366</v>
      </c>
      <c r="C10" s="145">
        <f t="shared" si="4"/>
        <v>366</v>
      </c>
      <c r="D10" s="93"/>
      <c r="E10" s="93"/>
      <c r="F10" s="120">
        <f>ROUND(E14*C10/1000,3)</f>
        <v>489.68900000000002</v>
      </c>
      <c r="G10" s="121">
        <f>SUM(D17:D19)</f>
        <v>373.96000000000004</v>
      </c>
      <c r="H10" s="134">
        <f t="shared" si="0"/>
        <v>1021.75</v>
      </c>
      <c r="I10" s="122">
        <f>ROUND(H10/H14,3)</f>
        <v>0.184</v>
      </c>
      <c r="J10" s="123">
        <f>'86 индекс бюдж-ых расходов'!Y9</f>
        <v>4.2510000000000003</v>
      </c>
      <c r="K10" s="126">
        <f t="shared" si="5"/>
        <v>4.2999999999999997E-2</v>
      </c>
      <c r="L10" s="93"/>
      <c r="M10" s="93"/>
      <c r="N10" s="93"/>
      <c r="O10" s="126">
        <f>N14-K10</f>
        <v>1.516</v>
      </c>
      <c r="P10" s="98">
        <f>ROUND(H12*J10*O10*C10,3)</f>
        <v>91036392.512999997</v>
      </c>
      <c r="Q10" s="120">
        <f>ROUND(M14/P14*P10,3)</f>
        <v>5118.3729999999996</v>
      </c>
      <c r="R10" s="93"/>
      <c r="S10" s="126">
        <f t="shared" ref="S10:S13" si="11">ROUND(B10*K10/1000,3)</f>
        <v>1.6E-2</v>
      </c>
      <c r="T10" s="120">
        <f>ROUND(R14*S10/S14,3)</f>
        <v>6.6989999999999998</v>
      </c>
      <c r="U10" s="141">
        <f t="shared" si="6"/>
        <v>5614.7609999999995</v>
      </c>
      <c r="V10" s="128">
        <f t="shared" si="7"/>
        <v>4.2999999999999997E-2</v>
      </c>
      <c r="W10" s="129">
        <v>5</v>
      </c>
      <c r="X10" s="130">
        <f t="shared" si="1"/>
        <v>16362.625683060109</v>
      </c>
      <c r="Y10" s="131">
        <f t="shared" si="2"/>
        <v>0.17778894956053076</v>
      </c>
      <c r="Z10" s="132">
        <v>5</v>
      </c>
      <c r="AA10" s="98">
        <f>D22</f>
        <v>8414.9470000000001</v>
      </c>
      <c r="AB10" s="121">
        <f>D21</f>
        <v>1216.96</v>
      </c>
      <c r="AC10" s="121">
        <f t="shared" si="8"/>
        <v>7197.9870000000001</v>
      </c>
      <c r="AD10" s="121">
        <f t="shared" si="9"/>
        <v>1583.2260000000006</v>
      </c>
      <c r="AE10" s="98">
        <f t="shared" si="3"/>
        <v>1583.2260000000006</v>
      </c>
      <c r="AF10" s="94">
        <f t="shared" si="10"/>
        <v>7197.9870000000001</v>
      </c>
    </row>
    <row r="11" spans="1:32" x14ac:dyDescent="0.2">
      <c r="A11" s="118" t="s">
        <v>21</v>
      </c>
      <c r="B11" s="144">
        <v>148</v>
      </c>
      <c r="C11" s="145">
        <f t="shared" si="4"/>
        <v>148</v>
      </c>
      <c r="D11" s="93"/>
      <c r="E11" s="93"/>
      <c r="F11" s="120">
        <f>ROUND(E14*C11/1000,3)</f>
        <v>198.01599999999999</v>
      </c>
      <c r="G11" s="121">
        <f>SUM(E17:E19)</f>
        <v>501.6</v>
      </c>
      <c r="H11" s="135">
        <f t="shared" si="0"/>
        <v>3389.19</v>
      </c>
      <c r="I11" s="122">
        <f>ROUND(H11/H14,3)</f>
        <v>0.61099999999999999</v>
      </c>
      <c r="J11" s="123">
        <f>'86 индекс бюдж-ых расходов'!Y10</f>
        <v>11.726000000000001</v>
      </c>
      <c r="K11" s="126">
        <f t="shared" si="5"/>
        <v>5.1999999999999998E-2</v>
      </c>
      <c r="L11" s="93"/>
      <c r="M11" s="93"/>
      <c r="N11" s="93"/>
      <c r="O11" s="126">
        <f>N14-K11</f>
        <v>1.5069999999999999</v>
      </c>
      <c r="P11" s="98">
        <f>ROUND(H12*J11*O11*C11,3)</f>
        <v>100941209.807</v>
      </c>
      <c r="Q11" s="120">
        <f>ROUND(M14/P14*P11,3)</f>
        <v>5675.2550000000001</v>
      </c>
      <c r="R11" s="93"/>
      <c r="S11" s="126">
        <f t="shared" si="11"/>
        <v>8.0000000000000002E-3</v>
      </c>
      <c r="T11" s="120">
        <f>ROUND(R14*S11/S14,3)</f>
        <v>3.3490000000000002</v>
      </c>
      <c r="U11" s="141">
        <f t="shared" si="6"/>
        <v>5876.62</v>
      </c>
      <c r="V11" s="128">
        <f t="shared" si="7"/>
        <v>5.1999999999999998E-2</v>
      </c>
      <c r="W11" s="129">
        <v>6</v>
      </c>
      <c r="X11" s="130">
        <f t="shared" si="1"/>
        <v>43096.08108108108</v>
      </c>
      <c r="Y11" s="131">
        <f t="shared" si="2"/>
        <v>0.18780990259776084</v>
      </c>
      <c r="Z11" s="132">
        <v>6</v>
      </c>
      <c r="AA11" s="98">
        <f>E22</f>
        <v>6909.22</v>
      </c>
      <c r="AB11" s="121">
        <f>E21</f>
        <v>1032.5999999999999</v>
      </c>
      <c r="AC11" s="121">
        <f t="shared" si="8"/>
        <v>5876.6200000000008</v>
      </c>
      <c r="AD11" s="121">
        <f t="shared" si="9"/>
        <v>0</v>
      </c>
      <c r="AE11" s="98">
        <f t="shared" si="3"/>
        <v>0</v>
      </c>
      <c r="AF11" s="94">
        <f t="shared" si="10"/>
        <v>5876.6200000000008</v>
      </c>
    </row>
    <row r="12" spans="1:32" x14ac:dyDescent="0.2">
      <c r="A12" s="118" t="s">
        <v>22</v>
      </c>
      <c r="B12" s="144">
        <v>103</v>
      </c>
      <c r="C12" s="145">
        <f t="shared" si="4"/>
        <v>103</v>
      </c>
      <c r="D12" s="93"/>
      <c r="E12" s="93"/>
      <c r="F12" s="120">
        <f>ROUND(E14*C12/1000,3)</f>
        <v>137.809</v>
      </c>
      <c r="G12" s="121">
        <f>SUM(F17:F19)</f>
        <v>3975.4</v>
      </c>
      <c r="H12" s="147">
        <f t="shared" si="0"/>
        <v>38596.120000000003</v>
      </c>
      <c r="I12" s="122">
        <f>ROUND(H12/H14,)</f>
        <v>7</v>
      </c>
      <c r="J12" s="123">
        <f>'86 индекс бюдж-ых расходов'!Y11</f>
        <v>4.4909999999999997</v>
      </c>
      <c r="K12" s="122">
        <f t="shared" si="5"/>
        <v>1.5589999999999999</v>
      </c>
      <c r="L12" s="93"/>
      <c r="M12" s="93"/>
      <c r="N12" s="93"/>
      <c r="O12" s="122">
        <f>N14-K12</f>
        <v>0</v>
      </c>
      <c r="P12" s="98">
        <f>ROUND(H12*J12*O12*C12,3)</f>
        <v>0</v>
      </c>
      <c r="Q12" s="120">
        <f>ROUND(M14/P14*P12,3)</f>
        <v>0</v>
      </c>
      <c r="R12" s="93"/>
      <c r="S12" s="126">
        <f t="shared" si="11"/>
        <v>0.161</v>
      </c>
      <c r="T12" s="120">
        <f>ROUND(R14*S12/S14,3)</f>
        <v>67.406999999999996</v>
      </c>
      <c r="U12" s="141">
        <f t="shared" si="6"/>
        <v>205.21600000000001</v>
      </c>
      <c r="V12" s="128">
        <f t="shared" si="7"/>
        <v>1.5589999999999999</v>
      </c>
      <c r="W12" s="129">
        <v>2</v>
      </c>
      <c r="X12" s="130">
        <f t="shared" si="1"/>
        <v>40588.504854368934</v>
      </c>
      <c r="Y12" s="131">
        <f t="shared" si="2"/>
        <v>1.8923058693428931</v>
      </c>
      <c r="Z12" s="132">
        <v>2</v>
      </c>
      <c r="AA12" s="98">
        <f>F22</f>
        <v>5857.5280000000002</v>
      </c>
      <c r="AB12" s="121">
        <f>F21</f>
        <v>4342.5</v>
      </c>
      <c r="AC12" s="121">
        <f t="shared" si="8"/>
        <v>1515.0280000000002</v>
      </c>
      <c r="AD12" s="121">
        <f t="shared" si="9"/>
        <v>1309.8120000000004</v>
      </c>
      <c r="AE12" s="98">
        <f t="shared" si="3"/>
        <v>1309.8120000000004</v>
      </c>
      <c r="AF12" s="94">
        <f t="shared" si="10"/>
        <v>1515.0280000000002</v>
      </c>
    </row>
    <row r="13" spans="1:32" x14ac:dyDescent="0.2">
      <c r="A13" s="118" t="s">
        <v>23</v>
      </c>
      <c r="B13" s="144">
        <v>62</v>
      </c>
      <c r="C13" s="145">
        <f t="shared" si="4"/>
        <v>62</v>
      </c>
      <c r="D13" s="93"/>
      <c r="E13" s="93"/>
      <c r="F13" s="120">
        <f>ROUND(E14*C13/1000,3)</f>
        <v>82.953000000000003</v>
      </c>
      <c r="G13" s="121">
        <f>SUM(G17:G19)</f>
        <v>132.16</v>
      </c>
      <c r="H13" s="134">
        <f t="shared" si="0"/>
        <v>2131.61</v>
      </c>
      <c r="I13" s="122">
        <f>ROUND(H13/H14,3)</f>
        <v>0.38400000000000001</v>
      </c>
      <c r="J13" s="123">
        <f>'86 индекс бюдж-ых расходов'!Y12</f>
        <v>1.6679999999999999</v>
      </c>
      <c r="K13" s="126">
        <f>ROUND(I13/J13,3)</f>
        <v>0.23</v>
      </c>
      <c r="L13" s="93"/>
      <c r="M13" s="93"/>
      <c r="N13" s="93"/>
      <c r="O13" s="126">
        <f>N14-K13</f>
        <v>1.329</v>
      </c>
      <c r="P13" s="98">
        <f>ROUND(H12*J13*O13*C13,3)</f>
        <v>5304645.4840000002</v>
      </c>
      <c r="Q13" s="120">
        <f>ROUND(M14/P14*P13,3)</f>
        <v>298.245</v>
      </c>
      <c r="R13" s="93"/>
      <c r="S13" s="126">
        <f t="shared" si="11"/>
        <v>1.4E-2</v>
      </c>
      <c r="T13" s="120">
        <f>ROUND(R14*S13/S14,3)</f>
        <v>5.8609999999999998</v>
      </c>
      <c r="U13" s="141">
        <f t="shared" si="6"/>
        <v>387.05899999999997</v>
      </c>
      <c r="V13" s="128">
        <f t="shared" si="7"/>
        <v>0.23</v>
      </c>
      <c r="W13" s="129">
        <v>3</v>
      </c>
      <c r="X13" s="130">
        <f t="shared" si="1"/>
        <v>8374.5</v>
      </c>
      <c r="Y13" s="131">
        <f t="shared" si="2"/>
        <v>0.39088066929872756</v>
      </c>
      <c r="Z13" s="132">
        <v>3</v>
      </c>
      <c r="AA13" s="98">
        <f>G22</f>
        <v>6210.9089999999997</v>
      </c>
      <c r="AB13" s="121">
        <f>G21</f>
        <v>525.16</v>
      </c>
      <c r="AC13" s="121">
        <f t="shared" si="8"/>
        <v>5685.7489999999998</v>
      </c>
      <c r="AD13" s="121">
        <f t="shared" si="9"/>
        <v>5298.69</v>
      </c>
      <c r="AE13" s="98">
        <f t="shared" si="3"/>
        <v>5298.69</v>
      </c>
      <c r="AF13" s="94">
        <f t="shared" si="10"/>
        <v>5685.7489999999998</v>
      </c>
    </row>
    <row r="14" spans="1:32" x14ac:dyDescent="0.2">
      <c r="A14" s="119" t="s">
        <v>17</v>
      </c>
      <c r="B14" s="136">
        <f>B10+B11+B12+B13+B8+B9</f>
        <v>7637</v>
      </c>
      <c r="C14" s="136">
        <f>C10+C11+C12+C13+C8+C9</f>
        <v>7637</v>
      </c>
      <c r="D14" s="119">
        <v>10217.9</v>
      </c>
      <c r="E14" s="125">
        <f>ROUND(D14/C14*1000,4)</f>
        <v>1337.9467999999999</v>
      </c>
      <c r="F14" s="137">
        <f>SUM(F8:F13)</f>
        <v>10217.899999999998</v>
      </c>
      <c r="G14" s="138">
        <f>SUM(G8:G13)</f>
        <v>42390.347000000002</v>
      </c>
      <c r="H14" s="139">
        <f t="shared" si="0"/>
        <v>5550.65</v>
      </c>
      <c r="I14" s="140">
        <v>1</v>
      </c>
      <c r="J14" s="123">
        <f>'86 индекс бюдж-ых расходов'!Y13</f>
        <v>1.4350000000000001</v>
      </c>
      <c r="K14" s="119"/>
      <c r="L14" s="121">
        <v>26221.634999999998</v>
      </c>
      <c r="M14" s="121">
        <f>L14*90/100</f>
        <v>23599.4715</v>
      </c>
      <c r="N14" s="125">
        <v>1.5589999999999999</v>
      </c>
      <c r="O14" s="119"/>
      <c r="P14" s="121">
        <f>SUM(P8:P13)</f>
        <v>419744850.31599998</v>
      </c>
      <c r="Q14" s="137">
        <f>SUM(Q8:Q13)</f>
        <v>23599.470999999998</v>
      </c>
      <c r="R14" s="133">
        <f>L14-M14</f>
        <v>2622.1634999999987</v>
      </c>
      <c r="S14" s="126">
        <f>SUM(S8:S13)</f>
        <v>6.2629999999999999</v>
      </c>
      <c r="T14" s="137">
        <f>T10+T11+T12+T13+T8+T9</f>
        <v>2622.163</v>
      </c>
      <c r="U14" s="141">
        <f>F14+Q14+T14</f>
        <v>36439.534</v>
      </c>
      <c r="V14" s="128"/>
      <c r="W14" s="93"/>
      <c r="X14" s="130">
        <f t="shared" si="1"/>
        <v>10322.100432106847</v>
      </c>
      <c r="Y14" s="93">
        <v>1</v>
      </c>
      <c r="Z14" s="93"/>
      <c r="AA14" s="141">
        <f t="shared" ref="AA14:AF14" si="12">AA13+AA12+AA11+AA10+AA9+AA8</f>
        <v>104314.13200000001</v>
      </c>
      <c r="AB14" s="141">
        <f t="shared" si="12"/>
        <v>50602.823000000004</v>
      </c>
      <c r="AC14" s="141">
        <f t="shared" si="12"/>
        <v>53711.309000000008</v>
      </c>
      <c r="AD14" s="141">
        <f t="shared" si="12"/>
        <v>17271.775000000005</v>
      </c>
      <c r="AE14" s="141">
        <f t="shared" si="12"/>
        <v>17271.775000000005</v>
      </c>
      <c r="AF14" s="127">
        <f t="shared" si="12"/>
        <v>53711.309000000008</v>
      </c>
    </row>
    <row r="15" spans="1:32" x14ac:dyDescent="0.2">
      <c r="C15" s="142"/>
      <c r="F15" s="103"/>
      <c r="AA15" s="94"/>
      <c r="AB15" s="143"/>
      <c r="AC15" s="143"/>
      <c r="AD15" s="143"/>
      <c r="AE15" s="143"/>
    </row>
    <row r="16" spans="1:32" x14ac:dyDescent="0.2">
      <c r="A16" s="93"/>
      <c r="B16" s="93" t="s">
        <v>18</v>
      </c>
      <c r="C16" s="93" t="s">
        <v>152</v>
      </c>
      <c r="D16" s="93" t="s">
        <v>166</v>
      </c>
      <c r="E16" s="93" t="s">
        <v>21</v>
      </c>
      <c r="F16" s="94" t="s">
        <v>22</v>
      </c>
      <c r="G16" s="93" t="s">
        <v>23</v>
      </c>
      <c r="H16" s="93" t="s">
        <v>153</v>
      </c>
      <c r="I16" s="101"/>
      <c r="J16" s="151"/>
      <c r="L16" s="96"/>
      <c r="T16" s="103"/>
    </row>
    <row r="17" spans="1:20" ht="25.5" x14ac:dyDescent="0.2">
      <c r="A17" s="92" t="s">
        <v>149</v>
      </c>
      <c r="B17" s="100">
        <v>33544.1</v>
      </c>
      <c r="C17" s="98">
        <v>611.21199999999999</v>
      </c>
      <c r="D17" s="100">
        <v>347.16</v>
      </c>
      <c r="E17" s="100">
        <v>491.3</v>
      </c>
      <c r="F17" s="100">
        <v>3968</v>
      </c>
      <c r="G17" s="99">
        <v>123.1</v>
      </c>
      <c r="H17" s="98">
        <f>SUM(B17:G17)</f>
        <v>39084.872000000003</v>
      </c>
      <c r="J17" s="152"/>
      <c r="T17" s="103"/>
    </row>
    <row r="18" spans="1:20" x14ac:dyDescent="0.2">
      <c r="A18" s="92" t="s">
        <v>150</v>
      </c>
      <c r="B18" s="100">
        <v>1394.6</v>
      </c>
      <c r="C18" s="98">
        <v>5.3150000000000004</v>
      </c>
      <c r="D18" s="100">
        <v>8.8000000000000007</v>
      </c>
      <c r="E18" s="100">
        <v>5.3</v>
      </c>
      <c r="F18" s="100">
        <v>6.4</v>
      </c>
      <c r="G18" s="99">
        <v>1.06</v>
      </c>
      <c r="H18" s="98">
        <f>SUM(B18:G18)</f>
        <v>1421.4749999999999</v>
      </c>
      <c r="J18" s="152"/>
      <c r="T18" s="103"/>
    </row>
    <row r="19" spans="1:20" ht="38.25" x14ac:dyDescent="0.2">
      <c r="A19" s="92" t="s">
        <v>151</v>
      </c>
      <c r="B19" s="100">
        <v>1841</v>
      </c>
      <c r="C19" s="98">
        <v>11</v>
      </c>
      <c r="D19" s="100">
        <v>18</v>
      </c>
      <c r="E19" s="100">
        <v>5</v>
      </c>
      <c r="F19" s="100">
        <v>1</v>
      </c>
      <c r="G19" s="99">
        <v>8</v>
      </c>
      <c r="H19" s="98">
        <f>SUM(B19:G19)</f>
        <v>1884</v>
      </c>
      <c r="J19" s="152"/>
      <c r="T19" s="103"/>
    </row>
    <row r="20" spans="1:20" ht="25.5" x14ac:dyDescent="0.2">
      <c r="A20" s="148" t="s">
        <v>156</v>
      </c>
      <c r="B20" s="149">
        <f>SUM(B17:B19)</f>
        <v>36779.699999999997</v>
      </c>
      <c r="C20" s="149">
        <f t="shared" ref="C20:H20" si="13">SUM(C17:C19)</f>
        <v>627.52700000000004</v>
      </c>
      <c r="D20" s="149">
        <f t="shared" si="13"/>
        <v>373.96000000000004</v>
      </c>
      <c r="E20" s="149">
        <f t="shared" si="13"/>
        <v>501.6</v>
      </c>
      <c r="F20" s="149">
        <f t="shared" si="13"/>
        <v>3975.4</v>
      </c>
      <c r="G20" s="149">
        <f t="shared" si="13"/>
        <v>132.16</v>
      </c>
      <c r="H20" s="149">
        <f t="shared" si="13"/>
        <v>42390.347000000002</v>
      </c>
      <c r="I20" s="103"/>
      <c r="J20" s="153"/>
      <c r="T20" s="103"/>
    </row>
    <row r="21" spans="1:20" x14ac:dyDescent="0.2">
      <c r="A21" s="102" t="s">
        <v>154</v>
      </c>
      <c r="B21" s="98">
        <v>42040.103000000003</v>
      </c>
      <c r="C21" s="98">
        <v>1445.5</v>
      </c>
      <c r="D21" s="98">
        <v>1216.96</v>
      </c>
      <c r="E21" s="98">
        <v>1032.5999999999999</v>
      </c>
      <c r="F21" s="98">
        <v>4342.5</v>
      </c>
      <c r="G21" s="98">
        <v>525.16</v>
      </c>
      <c r="H21" s="98">
        <f>SUM(B21:G21)</f>
        <v>50602.823000000004</v>
      </c>
      <c r="J21" s="152"/>
      <c r="T21" s="103"/>
    </row>
    <row r="22" spans="1:20" x14ac:dyDescent="0.2">
      <c r="A22" s="150" t="s">
        <v>155</v>
      </c>
      <c r="B22" s="141">
        <f>SUM(B23:B28)</f>
        <v>68873.475000000006</v>
      </c>
      <c r="C22" s="141">
        <f t="shared" ref="C22:H22" si="14">SUM(C23:C28)</f>
        <v>8048.0529999999999</v>
      </c>
      <c r="D22" s="141">
        <f t="shared" si="14"/>
        <v>8414.9470000000001</v>
      </c>
      <c r="E22" s="141">
        <f t="shared" si="14"/>
        <v>6909.22</v>
      </c>
      <c r="F22" s="141">
        <f t="shared" si="14"/>
        <v>5857.5280000000002</v>
      </c>
      <c r="G22" s="141">
        <f t="shared" si="14"/>
        <v>6210.9089999999997</v>
      </c>
      <c r="H22" s="141">
        <f t="shared" si="14"/>
        <v>104314.132</v>
      </c>
      <c r="J22" s="154"/>
      <c r="T22" s="103"/>
    </row>
    <row r="23" spans="1:20" x14ac:dyDescent="0.2">
      <c r="A23" s="102" t="s">
        <v>162</v>
      </c>
      <c r="B23" s="98">
        <v>65834.982000000004</v>
      </c>
      <c r="C23" s="98">
        <v>7545.9719999999998</v>
      </c>
      <c r="D23" s="98">
        <v>7937.42</v>
      </c>
      <c r="E23" s="98">
        <v>6509.42</v>
      </c>
      <c r="F23" s="98">
        <v>5434.11</v>
      </c>
      <c r="G23" s="98">
        <v>5588.7569999999996</v>
      </c>
      <c r="H23" s="98">
        <f t="shared" ref="H23:H32" si="15">SUM(B23:G23)</f>
        <v>98850.660999999993</v>
      </c>
      <c r="J23" s="152"/>
    </row>
    <row r="24" spans="1:20" ht="25.5" x14ac:dyDescent="0.2">
      <c r="A24" s="102" t="s">
        <v>167</v>
      </c>
      <c r="B24" s="98">
        <v>197.53</v>
      </c>
      <c r="C24" s="98">
        <v>32.840000000000003</v>
      </c>
      <c r="D24" s="98">
        <v>18.77</v>
      </c>
      <c r="E24" s="98">
        <v>42</v>
      </c>
      <c r="F24" s="98">
        <v>18.77</v>
      </c>
      <c r="G24" s="98">
        <v>38</v>
      </c>
      <c r="H24" s="98">
        <f t="shared" si="15"/>
        <v>347.90999999999997</v>
      </c>
      <c r="J24" s="152"/>
    </row>
    <row r="25" spans="1:20" ht="25.5" x14ac:dyDescent="0.2">
      <c r="A25" s="102" t="s">
        <v>163</v>
      </c>
      <c r="B25" s="98">
        <v>1838.681</v>
      </c>
      <c r="C25" s="98">
        <v>428.24099999999999</v>
      </c>
      <c r="D25" s="98">
        <v>413.75700000000001</v>
      </c>
      <c r="E25" s="98">
        <v>328.8</v>
      </c>
      <c r="F25" s="98">
        <v>338.64800000000002</v>
      </c>
      <c r="G25" s="98">
        <v>401.15199999999999</v>
      </c>
      <c r="H25" s="98">
        <f t="shared" si="15"/>
        <v>3749.2790000000005</v>
      </c>
      <c r="J25" s="152"/>
    </row>
    <row r="26" spans="1:20" ht="25.5" x14ac:dyDescent="0.2">
      <c r="A26" s="102" t="s">
        <v>168</v>
      </c>
      <c r="B26" s="98">
        <v>847.28200000000004</v>
      </c>
      <c r="C26" s="98"/>
      <c r="D26" s="98"/>
      <c r="E26" s="98"/>
      <c r="F26" s="98"/>
      <c r="G26" s="98"/>
      <c r="H26" s="98">
        <f t="shared" si="15"/>
        <v>847.28200000000004</v>
      </c>
      <c r="J26" s="152"/>
    </row>
    <row r="27" spans="1:20" ht="38.25" x14ac:dyDescent="0.2">
      <c r="A27" s="102" t="s">
        <v>164</v>
      </c>
      <c r="B27" s="98">
        <v>0</v>
      </c>
      <c r="C27" s="98"/>
      <c r="D27" s="98"/>
      <c r="E27" s="98"/>
      <c r="F27" s="98"/>
      <c r="G27" s="98">
        <v>145</v>
      </c>
      <c r="H27" s="98">
        <f t="shared" si="15"/>
        <v>145</v>
      </c>
      <c r="J27" s="152"/>
    </row>
    <row r="28" spans="1:20" ht="25.5" x14ac:dyDescent="0.2">
      <c r="A28" s="102" t="s">
        <v>165</v>
      </c>
      <c r="B28" s="98">
        <v>155</v>
      </c>
      <c r="C28" s="98">
        <v>41</v>
      </c>
      <c r="D28" s="98">
        <v>45</v>
      </c>
      <c r="E28" s="98">
        <v>29</v>
      </c>
      <c r="F28" s="98">
        <v>66</v>
      </c>
      <c r="G28" s="98">
        <v>38</v>
      </c>
      <c r="H28" s="98">
        <f t="shared" si="15"/>
        <v>374</v>
      </c>
      <c r="J28" s="152"/>
    </row>
    <row r="29" spans="1:20" ht="25.5" x14ac:dyDescent="0.2">
      <c r="A29" s="102" t="s">
        <v>160</v>
      </c>
      <c r="B29" s="98">
        <v>56828.292000000001</v>
      </c>
      <c r="C29" s="98">
        <v>6048.9870000000001</v>
      </c>
      <c r="D29" s="98">
        <v>6824.4560000000001</v>
      </c>
      <c r="E29" s="98">
        <v>6145.8829999999998</v>
      </c>
      <c r="F29" s="98">
        <v>5689.9390000000003</v>
      </c>
      <c r="G29" s="98">
        <v>5805.5479999999998</v>
      </c>
      <c r="H29" s="98">
        <f t="shared" si="15"/>
        <v>87343.104999999996</v>
      </c>
      <c r="I29" s="103"/>
      <c r="J29" s="152"/>
    </row>
    <row r="30" spans="1:20" ht="51" x14ac:dyDescent="0.2">
      <c r="A30" s="146" t="s">
        <v>161</v>
      </c>
      <c r="B30" s="98">
        <f>B22-B31-B29</f>
        <v>6685.1830000000045</v>
      </c>
      <c r="C30" s="98">
        <f t="shared" ref="C30:G30" si="16">C22-C31-C29</f>
        <v>1292.0659999999998</v>
      </c>
      <c r="D30" s="98">
        <f t="shared" si="16"/>
        <v>819.49099999999999</v>
      </c>
      <c r="E30" s="98">
        <f t="shared" si="16"/>
        <v>251.33700000000044</v>
      </c>
      <c r="F30" s="98">
        <f t="shared" si="16"/>
        <v>-149.41100000000006</v>
      </c>
      <c r="G30" s="98">
        <f t="shared" si="16"/>
        <v>41.360999999999876</v>
      </c>
      <c r="H30" s="98">
        <f t="shared" si="15"/>
        <v>8940.0270000000055</v>
      </c>
      <c r="J30" s="152"/>
    </row>
    <row r="31" spans="1:20" x14ac:dyDescent="0.2">
      <c r="A31" s="102" t="s">
        <v>159</v>
      </c>
      <c r="B31" s="98">
        <v>5360</v>
      </c>
      <c r="C31" s="98">
        <v>707</v>
      </c>
      <c r="D31" s="98">
        <v>771</v>
      </c>
      <c r="E31" s="98">
        <v>512</v>
      </c>
      <c r="F31" s="98">
        <v>317</v>
      </c>
      <c r="G31" s="98">
        <v>364</v>
      </c>
      <c r="H31" s="98">
        <f t="shared" si="15"/>
        <v>8031</v>
      </c>
      <c r="J31" s="152"/>
    </row>
    <row r="32" spans="1:20" x14ac:dyDescent="0.2">
      <c r="A32" s="102" t="s">
        <v>47</v>
      </c>
      <c r="B32" s="98">
        <f>SUM(B29:B31)</f>
        <v>68873.475000000006</v>
      </c>
      <c r="C32" s="98">
        <f t="shared" ref="C32:F32" si="17">SUM(C29:C31)</f>
        <v>8048.0529999999999</v>
      </c>
      <c r="D32" s="98">
        <f t="shared" si="17"/>
        <v>8414.9470000000001</v>
      </c>
      <c r="E32" s="98">
        <f t="shared" si="17"/>
        <v>6909.22</v>
      </c>
      <c r="F32" s="98">
        <f t="shared" si="17"/>
        <v>5857.5280000000002</v>
      </c>
      <c r="G32" s="98">
        <f>SUM(G29:G31)</f>
        <v>6210.9089999999997</v>
      </c>
      <c r="H32" s="98">
        <f t="shared" si="15"/>
        <v>104314.13200000001</v>
      </c>
      <c r="J32" s="152"/>
    </row>
    <row r="33" spans="1:10" ht="25.5" x14ac:dyDescent="0.2">
      <c r="A33" s="102" t="s">
        <v>157</v>
      </c>
      <c r="B33" s="98">
        <f>B21-B22</f>
        <v>-26833.372000000003</v>
      </c>
      <c r="C33" s="98">
        <f>C21-C22</f>
        <v>-6602.5529999999999</v>
      </c>
      <c r="D33" s="98">
        <f t="shared" ref="D33:H33" si="18">D21-D22</f>
        <v>-7197.9870000000001</v>
      </c>
      <c r="E33" s="98">
        <f t="shared" si="18"/>
        <v>-5876.6200000000008</v>
      </c>
      <c r="F33" s="98">
        <f t="shared" si="18"/>
        <v>-1515.0280000000002</v>
      </c>
      <c r="G33" s="98">
        <f t="shared" si="18"/>
        <v>-5685.7489999999998</v>
      </c>
      <c r="H33" s="98">
        <f t="shared" si="18"/>
        <v>-53711.308999999994</v>
      </c>
      <c r="J33" s="152"/>
    </row>
    <row r="34" spans="1:10" x14ac:dyDescent="0.2">
      <c r="I34" s="103">
        <f>H21-H22</f>
        <v>-53711.308999999994</v>
      </c>
    </row>
    <row r="35" spans="1:10" x14ac:dyDescent="0.2">
      <c r="B35" s="103">
        <f>B21+U8</f>
        <v>63575.404999999999</v>
      </c>
      <c r="C35" s="103">
        <f>C21+U9</f>
        <v>4266.076</v>
      </c>
      <c r="D35" s="103">
        <f>D21+T10</f>
        <v>1223.6590000000001</v>
      </c>
      <c r="E35" s="103">
        <f>E21+U11</f>
        <v>6909.2199999999993</v>
      </c>
      <c r="F35" s="103">
        <f>F21+U12</f>
        <v>4547.7160000000003</v>
      </c>
      <c r="G35" s="103">
        <f>G21+U13</f>
        <v>912.21899999999994</v>
      </c>
      <c r="H35" s="103">
        <f>H21+U14</f>
        <v>87042.357000000004</v>
      </c>
    </row>
    <row r="36" spans="1:10" x14ac:dyDescent="0.2">
      <c r="B36" s="103"/>
    </row>
    <row r="37" spans="1:10" x14ac:dyDescent="0.2">
      <c r="H37" s="95" t="s">
        <v>158</v>
      </c>
      <c r="I37" s="95">
        <v>29293200</v>
      </c>
    </row>
    <row r="38" spans="1:10" x14ac:dyDescent="0.2">
      <c r="H38" s="95">
        <v>18995500</v>
      </c>
    </row>
    <row r="39" spans="1:10" x14ac:dyDescent="0.2">
      <c r="G39" s="95">
        <v>20217900</v>
      </c>
      <c r="H39" s="95">
        <v>10297700</v>
      </c>
    </row>
    <row r="40" spans="1:10" x14ac:dyDescent="0.2">
      <c r="H40" s="95">
        <v>1402</v>
      </c>
      <c r="I40" s="95">
        <v>27807231</v>
      </c>
    </row>
  </sheetData>
  <mergeCells count="2">
    <mergeCell ref="G2:H2"/>
    <mergeCell ref="D3:L3"/>
  </mergeCells>
  <pageMargins left="0.51181102362204722" right="0.51181102362204722" top="0.55118110236220474" bottom="0.55118110236220474" header="0.31496062992125984" footer="0.31496062992125984"/>
  <pageSetup paperSize="9" scale="80" firstPageNumber="84" orientation="landscape" useFirstPageNumber="1" r:id="rId1"/>
  <headerFooter>
    <oddFooter>&amp;C&amp;P</oddFooter>
  </headerFooter>
  <rowBreaks count="2" manualBreakCount="2">
    <brk id="14" max="16383" man="1"/>
    <brk id="33" max="16383" man="1"/>
  </rowBreaks>
  <colBreaks count="1" manualBreakCount="1">
    <brk id="13" max="1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zoomScaleNormal="100" workbookViewId="0">
      <selection activeCell="C11" sqref="C11:D11"/>
    </sheetView>
  </sheetViews>
  <sheetFormatPr defaultRowHeight="15.75" x14ac:dyDescent="0.25"/>
  <cols>
    <col min="1" max="1" width="25.85546875" style="2" customWidth="1"/>
    <col min="2" max="2" width="14" style="2" customWidth="1"/>
    <col min="3" max="3" width="14.42578125" style="2" customWidth="1"/>
    <col min="4" max="4" width="12.85546875" style="2" customWidth="1"/>
    <col min="5" max="5" width="12.28515625" style="2" customWidth="1"/>
    <col min="6" max="6" width="12.7109375" style="2" customWidth="1"/>
    <col min="7" max="7" width="15" style="2" customWidth="1"/>
    <col min="8" max="8" width="13.42578125" style="2" customWidth="1"/>
    <col min="9" max="9" width="14.85546875" style="2" customWidth="1"/>
    <col min="10" max="10" width="9.28515625" style="2" bestFit="1" customWidth="1"/>
    <col min="11" max="11" width="14.140625" style="2" customWidth="1"/>
    <col min="12" max="12" width="10.5703125" style="2" customWidth="1"/>
    <col min="13" max="13" width="11.5703125" style="2" customWidth="1"/>
    <col min="14" max="14" width="11.42578125" style="2" customWidth="1"/>
    <col min="15" max="15" width="14.7109375" style="2" customWidth="1"/>
    <col min="16" max="16384" width="9.140625" style="2"/>
  </cols>
  <sheetData>
    <row r="1" spans="1:17" ht="24" customHeight="1" x14ac:dyDescent="0.25">
      <c r="D1" s="157" t="s">
        <v>116</v>
      </c>
    </row>
    <row r="2" spans="1:17" ht="123" customHeight="1" x14ac:dyDescent="0.25">
      <c r="A2" s="1"/>
      <c r="B2" s="169" t="s">
        <v>52</v>
      </c>
      <c r="C2" s="170"/>
      <c r="D2" s="169" t="s">
        <v>53</v>
      </c>
      <c r="E2" s="170"/>
      <c r="F2" s="169" t="s">
        <v>54</v>
      </c>
      <c r="G2" s="170"/>
      <c r="H2" s="169" t="s">
        <v>55</v>
      </c>
      <c r="I2" s="170"/>
      <c r="J2" s="169" t="s">
        <v>56</v>
      </c>
      <c r="K2" s="170"/>
      <c r="L2" s="169" t="s">
        <v>57</v>
      </c>
      <c r="M2" s="170"/>
      <c r="N2" s="169" t="s">
        <v>47</v>
      </c>
      <c r="O2" s="170"/>
    </row>
    <row r="3" spans="1:17" ht="31.5" x14ac:dyDescent="0.25">
      <c r="A3" s="1"/>
      <c r="B3" s="14" t="s">
        <v>43</v>
      </c>
      <c r="C3" s="14" t="s">
        <v>106</v>
      </c>
      <c r="D3" s="14" t="s">
        <v>43</v>
      </c>
      <c r="E3" s="18" t="s">
        <v>105</v>
      </c>
      <c r="F3" s="14" t="s">
        <v>43</v>
      </c>
      <c r="G3" s="18" t="s">
        <v>105</v>
      </c>
      <c r="H3" s="14" t="s">
        <v>43</v>
      </c>
      <c r="I3" s="18" t="s">
        <v>105</v>
      </c>
      <c r="J3" s="14" t="s">
        <v>43</v>
      </c>
      <c r="K3" s="18" t="s">
        <v>105</v>
      </c>
      <c r="L3" s="14" t="s">
        <v>43</v>
      </c>
      <c r="M3" s="18" t="s">
        <v>105</v>
      </c>
      <c r="N3" s="14" t="s">
        <v>43</v>
      </c>
      <c r="O3" s="18" t="s">
        <v>105</v>
      </c>
      <c r="P3" s="16"/>
    </row>
    <row r="4" spans="1:17" ht="38.25" customHeight="1" x14ac:dyDescent="0.25">
      <c r="A4" s="3" t="s">
        <v>44</v>
      </c>
      <c r="B4" s="155">
        <f>ROUND(C4/O4,3)</f>
        <v>0.29499999999999998</v>
      </c>
      <c r="C4" s="155">
        <v>20340.780999999999</v>
      </c>
      <c r="D4" s="155">
        <v>0.36</v>
      </c>
      <c r="E4" s="155">
        <v>27763.401000000002</v>
      </c>
      <c r="F4" s="155">
        <f>ROUND(G4/O4,3)</f>
        <v>1.6E-2</v>
      </c>
      <c r="G4" s="155">
        <v>1076.5650000000001</v>
      </c>
      <c r="H4" s="155">
        <f>ROUND(I4/O4,3)</f>
        <v>0.16200000000000001</v>
      </c>
      <c r="I4" s="155">
        <v>11136.46</v>
      </c>
      <c r="J4" s="155">
        <f>ROUND(K4/O4,3)</f>
        <v>2.4E-2</v>
      </c>
      <c r="K4" s="155">
        <v>1680.6579999999999</v>
      </c>
      <c r="L4" s="155">
        <f>ROUND(M4/O4,3)</f>
        <v>0.1</v>
      </c>
      <c r="M4" s="155">
        <v>6875.61</v>
      </c>
      <c r="N4" s="155">
        <f>B4+D4+F4+H4+J4+L4</f>
        <v>0.95700000000000007</v>
      </c>
      <c r="O4" s="155">
        <f>C4+E4+G4+I4+K4+M4</f>
        <v>68873.475000000006</v>
      </c>
      <c r="P4" s="16"/>
      <c r="Q4" s="2">
        <v>68873.475000000006</v>
      </c>
    </row>
    <row r="5" spans="1:17" ht="38.25" customHeight="1" x14ac:dyDescent="0.25">
      <c r="A5" s="3" t="s">
        <v>49</v>
      </c>
      <c r="B5" s="155">
        <f t="shared" ref="B5:B9" si="0">ROUND(C5/O5,3)</f>
        <v>0.64900000000000002</v>
      </c>
      <c r="C5" s="155">
        <v>5224.1540000000005</v>
      </c>
      <c r="D5" s="155">
        <v>0.155</v>
      </c>
      <c r="E5" s="155">
        <v>665.5</v>
      </c>
      <c r="F5" s="155">
        <f t="shared" ref="F5:F9" si="1">ROUND(G5/O5,3)</f>
        <v>0.14299999999999999</v>
      </c>
      <c r="G5" s="155">
        <v>1149.329</v>
      </c>
      <c r="H5" s="155">
        <f t="shared" ref="H5:H10" si="2">ROUND(I5/O5,3)</f>
        <v>0.108</v>
      </c>
      <c r="I5" s="155">
        <v>871</v>
      </c>
      <c r="J5" s="155">
        <f t="shared" ref="J5:J7" si="3">ROUND(K5/O5,3)</f>
        <v>1E-3</v>
      </c>
      <c r="K5" s="155">
        <v>10.07</v>
      </c>
      <c r="L5" s="155">
        <f t="shared" ref="L5:L9" si="4">ROUND(M5/O5,3)</f>
        <v>1.6E-2</v>
      </c>
      <c r="M5" s="155">
        <v>128</v>
      </c>
      <c r="N5" s="155">
        <f t="shared" ref="N5:O10" si="5">B5+D5+F5+H5+J5+L5</f>
        <v>1.0720000000000001</v>
      </c>
      <c r="O5" s="155">
        <f t="shared" si="5"/>
        <v>8048.0529999999999</v>
      </c>
      <c r="P5" s="16"/>
      <c r="Q5" s="2">
        <v>8048.0529999999999</v>
      </c>
    </row>
    <row r="6" spans="1:17" ht="38.25" customHeight="1" x14ac:dyDescent="0.25">
      <c r="A6" s="3" t="s">
        <v>50</v>
      </c>
      <c r="B6" s="155">
        <v>0.63500000000000001</v>
      </c>
      <c r="C6" s="155">
        <v>5146.527</v>
      </c>
      <c r="D6" s="155">
        <f t="shared" ref="D6:D9" si="6">ROUND(E6/O6,3)</f>
        <v>0.17</v>
      </c>
      <c r="E6" s="155">
        <v>1429.03</v>
      </c>
      <c r="F6" s="155">
        <f t="shared" si="1"/>
        <v>4.4999999999999998E-2</v>
      </c>
      <c r="G6" s="155">
        <v>380</v>
      </c>
      <c r="H6" s="155">
        <f t="shared" si="2"/>
        <v>0.06</v>
      </c>
      <c r="I6" s="155">
        <v>503.16800000000001</v>
      </c>
      <c r="J6" s="155">
        <f t="shared" si="3"/>
        <v>8.2000000000000003E-2</v>
      </c>
      <c r="K6" s="155">
        <v>689.40300000000002</v>
      </c>
      <c r="L6" s="155">
        <f t="shared" si="4"/>
        <v>3.2000000000000001E-2</v>
      </c>
      <c r="M6" s="155">
        <v>266.81900000000002</v>
      </c>
      <c r="N6" s="155">
        <f t="shared" si="5"/>
        <v>1.024</v>
      </c>
      <c r="O6" s="155">
        <f t="shared" si="5"/>
        <v>8414.9470000000001</v>
      </c>
      <c r="Q6" s="2">
        <v>8414.9470000000001</v>
      </c>
    </row>
    <row r="7" spans="1:17" ht="38.25" customHeight="1" x14ac:dyDescent="0.25">
      <c r="A7" s="3" t="s">
        <v>45</v>
      </c>
      <c r="B7" s="155">
        <f t="shared" si="0"/>
        <v>0.63800000000000001</v>
      </c>
      <c r="C7" s="155">
        <v>4408.1000000000004</v>
      </c>
      <c r="D7" s="155">
        <f t="shared" si="6"/>
        <v>0.22700000000000001</v>
      </c>
      <c r="E7" s="155">
        <v>1570.85</v>
      </c>
      <c r="F7" s="155">
        <f t="shared" si="1"/>
        <v>4.0000000000000001E-3</v>
      </c>
      <c r="G7" s="155">
        <v>30.1</v>
      </c>
      <c r="H7" s="155">
        <f t="shared" si="2"/>
        <v>0.124</v>
      </c>
      <c r="I7" s="155">
        <v>855</v>
      </c>
      <c r="J7" s="155">
        <f t="shared" si="3"/>
        <v>0</v>
      </c>
      <c r="K7" s="155">
        <v>0</v>
      </c>
      <c r="L7" s="155">
        <f t="shared" si="4"/>
        <v>7.0000000000000001E-3</v>
      </c>
      <c r="M7" s="155">
        <v>45.17</v>
      </c>
      <c r="N7" s="155">
        <f t="shared" si="5"/>
        <v>1</v>
      </c>
      <c r="O7" s="155">
        <f t="shared" si="5"/>
        <v>6909.2200000000012</v>
      </c>
      <c r="Q7" s="2">
        <v>6909.22</v>
      </c>
    </row>
    <row r="8" spans="1:17" ht="38.25" customHeight="1" x14ac:dyDescent="0.25">
      <c r="A8" s="3" t="s">
        <v>46</v>
      </c>
      <c r="B8" s="155">
        <f>ROUND(C8/O8,3)</f>
        <v>0.73299999999999998</v>
      </c>
      <c r="C8" s="155">
        <v>4291.6949999999997</v>
      </c>
      <c r="D8" s="155">
        <f t="shared" si="6"/>
        <v>0.13600000000000001</v>
      </c>
      <c r="E8" s="155">
        <v>797.46</v>
      </c>
      <c r="F8" s="155">
        <f t="shared" si="1"/>
        <v>3.9E-2</v>
      </c>
      <c r="G8" s="155">
        <v>225.87299999999999</v>
      </c>
      <c r="H8" s="155">
        <f>ROUND(I8/O8,3)</f>
        <v>7.0999999999999994E-2</v>
      </c>
      <c r="I8" s="155">
        <v>413</v>
      </c>
      <c r="J8" s="155">
        <v>0</v>
      </c>
      <c r="K8" s="155">
        <v>0</v>
      </c>
      <c r="L8" s="155">
        <f t="shared" si="4"/>
        <v>2.1999999999999999E-2</v>
      </c>
      <c r="M8" s="155">
        <v>129.5</v>
      </c>
      <c r="N8" s="155">
        <f t="shared" si="5"/>
        <v>1.0009999999999999</v>
      </c>
      <c r="O8" s="155">
        <f t="shared" si="5"/>
        <v>5857.5279999999993</v>
      </c>
      <c r="Q8" s="2">
        <v>5857.5280000000002</v>
      </c>
    </row>
    <row r="9" spans="1:17" ht="38.25" customHeight="1" x14ac:dyDescent="0.25">
      <c r="A9" s="3" t="s">
        <v>48</v>
      </c>
      <c r="B9" s="155">
        <f t="shared" si="0"/>
        <v>0.78100000000000003</v>
      </c>
      <c r="C9" s="155">
        <v>4847.9219999999996</v>
      </c>
      <c r="D9" s="155">
        <f t="shared" si="6"/>
        <v>0.13600000000000001</v>
      </c>
      <c r="E9" s="155">
        <v>847.48</v>
      </c>
      <c r="F9" s="155">
        <f t="shared" si="1"/>
        <v>0</v>
      </c>
      <c r="G9" s="155">
        <v>0</v>
      </c>
      <c r="H9" s="155">
        <f>ROUND(I9/O9,3)</f>
        <v>7.6999999999999999E-2</v>
      </c>
      <c r="I9" s="155">
        <v>476.50700000000001</v>
      </c>
      <c r="J9" s="155">
        <v>0</v>
      </c>
      <c r="K9" s="155">
        <v>0</v>
      </c>
      <c r="L9" s="155">
        <f t="shared" si="4"/>
        <v>6.0000000000000001E-3</v>
      </c>
      <c r="M9" s="155">
        <v>39</v>
      </c>
      <c r="N9" s="155">
        <f t="shared" si="5"/>
        <v>1</v>
      </c>
      <c r="O9" s="155">
        <f t="shared" si="5"/>
        <v>6210.9089999999997</v>
      </c>
      <c r="Q9" s="2">
        <v>6210.9089999999997</v>
      </c>
    </row>
    <row r="10" spans="1:17" ht="33" customHeight="1" x14ac:dyDescent="0.25">
      <c r="A10" s="1" t="s">
        <v>47</v>
      </c>
      <c r="B10" s="155">
        <f>ROUND(C10/O10,3)</f>
        <v>0.42399999999999999</v>
      </c>
      <c r="C10" s="155">
        <f>SUM(C4:C9)</f>
        <v>44259.178999999996</v>
      </c>
      <c r="D10" s="155">
        <f>ROUND(E10/O10,3)</f>
        <v>0.317</v>
      </c>
      <c r="E10" s="155">
        <f>SUM(E4:E9)</f>
        <v>33073.720999999998</v>
      </c>
      <c r="F10" s="155">
        <f>ROUND(G10/O10,3)</f>
        <v>2.7E-2</v>
      </c>
      <c r="G10" s="155">
        <f>SUM(G4:G9)</f>
        <v>2861.8670000000002</v>
      </c>
      <c r="H10" s="155">
        <f t="shared" si="2"/>
        <v>0.13700000000000001</v>
      </c>
      <c r="I10" s="155">
        <f>SUM(I4:I9)</f>
        <v>14255.134999999998</v>
      </c>
      <c r="J10" s="155">
        <v>8.0000000000000002E-3</v>
      </c>
      <c r="K10" s="155">
        <f>SUM(K4:K9)</f>
        <v>2380.1309999999999</v>
      </c>
      <c r="L10" s="155">
        <f>ROUND(M10/O10,3)</f>
        <v>7.1999999999999995E-2</v>
      </c>
      <c r="M10" s="155">
        <f>SUM(M4:M9)</f>
        <v>7484.0990000000002</v>
      </c>
      <c r="N10" s="155">
        <f t="shared" si="5"/>
        <v>0.98499999999999999</v>
      </c>
      <c r="O10" s="155">
        <f>SUM(O4:O9)</f>
        <v>104314.13200000001</v>
      </c>
    </row>
    <row r="11" spans="1:17" ht="16.5" customHeight="1" x14ac:dyDescent="0.25">
      <c r="A11" s="16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1"/>
    </row>
    <row r="12" spans="1:17" ht="16.5" customHeight="1" x14ac:dyDescent="0.25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1"/>
    </row>
    <row r="14" spans="1:17" x14ac:dyDescent="0.25">
      <c r="A14" s="4"/>
    </row>
    <row r="15" spans="1:17" x14ac:dyDescent="0.25">
      <c r="A15" s="4"/>
      <c r="N15" s="15"/>
    </row>
    <row r="16" spans="1:17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4"/>
    </row>
    <row r="22" spans="1:1" x14ac:dyDescent="0.25">
      <c r="A22" s="4"/>
    </row>
    <row r="23" spans="1:1" x14ac:dyDescent="0.25">
      <c r="A23" s="4"/>
    </row>
    <row r="24" spans="1:1" x14ac:dyDescent="0.25">
      <c r="A24" s="4"/>
    </row>
    <row r="25" spans="1:1" x14ac:dyDescent="0.25">
      <c r="A25" s="4"/>
    </row>
    <row r="26" spans="1:1" x14ac:dyDescent="0.25">
      <c r="A26" s="4"/>
    </row>
  </sheetData>
  <mergeCells count="7">
    <mergeCell ref="J2:K2"/>
    <mergeCell ref="L2:M2"/>
    <mergeCell ref="N2:O2"/>
    <mergeCell ref="B2:C2"/>
    <mergeCell ref="D2:E2"/>
    <mergeCell ref="F2:G2"/>
    <mergeCell ref="H2:I2"/>
  </mergeCells>
  <pageMargins left="0.70866141732283472" right="0.70866141732283472" top="0.74803149606299213" bottom="0.74803149606299213" header="0.31496062992125984" footer="0.31496062992125984"/>
  <pageSetup paperSize="9" scale="63" firstPageNumber="88" orientation="landscape" useFirstPageNumber="1" r:id="rId1"/>
  <headerFooter>
    <oddFooter>&amp;C&amp;P</oddFooter>
  </headerFooter>
  <rowBreaks count="1" manualBreakCount="1">
    <brk id="12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Normal="100" workbookViewId="0">
      <selection activeCell="C5" sqref="C5"/>
    </sheetView>
  </sheetViews>
  <sheetFormatPr defaultRowHeight="18.75" x14ac:dyDescent="0.3"/>
  <cols>
    <col min="1" max="1" width="27.140625" style="7" customWidth="1"/>
    <col min="2" max="2" width="32.140625" style="7" customWidth="1"/>
    <col min="3" max="3" width="26" style="7" customWidth="1"/>
    <col min="4" max="16384" width="9.140625" style="7"/>
  </cols>
  <sheetData>
    <row r="1" spans="1:6" x14ac:dyDescent="0.3">
      <c r="A1" s="171" t="s">
        <v>179</v>
      </c>
      <c r="B1" s="172"/>
      <c r="C1" s="172"/>
      <c r="D1" s="6"/>
      <c r="E1" s="6"/>
      <c r="F1" s="6"/>
    </row>
    <row r="2" spans="1:6" x14ac:dyDescent="0.3">
      <c r="A2" s="5"/>
      <c r="B2" s="5"/>
      <c r="C2" s="5"/>
      <c r="D2" s="6"/>
      <c r="E2" s="6"/>
      <c r="F2" s="6"/>
    </row>
    <row r="3" spans="1:6" x14ac:dyDescent="0.3">
      <c r="A3" s="173" t="s">
        <v>60</v>
      </c>
      <c r="B3" s="173"/>
      <c r="C3" s="173"/>
      <c r="D3" s="174"/>
    </row>
    <row r="4" spans="1:6" ht="146.25" customHeight="1" x14ac:dyDescent="0.3">
      <c r="A4" s="8" t="s">
        <v>25</v>
      </c>
      <c r="B4" s="8" t="s">
        <v>107</v>
      </c>
      <c r="C4" s="8" t="s">
        <v>61</v>
      </c>
      <c r="D4" s="9"/>
      <c r="E4" s="10"/>
      <c r="F4" s="10"/>
    </row>
    <row r="5" spans="1:6" x14ac:dyDescent="0.3">
      <c r="A5" s="8">
        <v>1</v>
      </c>
      <c r="B5" s="8">
        <v>2</v>
      </c>
      <c r="C5" s="8">
        <v>3</v>
      </c>
      <c r="D5" s="9"/>
      <c r="E5" s="9"/>
      <c r="F5" s="9"/>
    </row>
    <row r="6" spans="1:6" ht="24" customHeight="1" x14ac:dyDescent="0.3">
      <c r="A6" s="85" t="s">
        <v>18</v>
      </c>
      <c r="B6" s="86">
        <v>3809.92</v>
      </c>
      <c r="C6" s="18">
        <f>ROUND(B6/B12,3)</f>
        <v>0.96899999999999997</v>
      </c>
      <c r="D6" s="9"/>
      <c r="E6" s="11"/>
      <c r="F6" s="9"/>
    </row>
    <row r="7" spans="1:6" ht="24" customHeight="1" x14ac:dyDescent="0.3">
      <c r="A7" s="85" t="s">
        <v>19</v>
      </c>
      <c r="B7" s="86">
        <v>5146.4799999999996</v>
      </c>
      <c r="C7" s="18">
        <f>ROUND(B7/B12,3)</f>
        <v>1.3089999999999999</v>
      </c>
      <c r="D7" s="9"/>
      <c r="E7" s="11"/>
      <c r="F7" s="9"/>
    </row>
    <row r="8" spans="1:6" ht="24" customHeight="1" x14ac:dyDescent="0.3">
      <c r="A8" s="85" t="s">
        <v>20</v>
      </c>
      <c r="B8" s="86">
        <v>6429.48</v>
      </c>
      <c r="C8" s="18">
        <f>ROUND(B8/B12,3)</f>
        <v>1.635</v>
      </c>
      <c r="D8" s="9"/>
      <c r="E8" s="11"/>
      <c r="F8" s="9"/>
    </row>
    <row r="9" spans="1:6" ht="24" customHeight="1" x14ac:dyDescent="0.3">
      <c r="A9" s="85" t="s">
        <v>21</v>
      </c>
      <c r="B9" s="86">
        <v>13817.51</v>
      </c>
      <c r="C9" s="18">
        <f>ROUND(B9/B12,3)</f>
        <v>3.5139999999999998</v>
      </c>
      <c r="D9" s="9"/>
      <c r="E9" s="11"/>
      <c r="F9" s="9"/>
    </row>
    <row r="10" spans="1:6" ht="24" customHeight="1" x14ac:dyDescent="0.3">
      <c r="A10" s="85" t="s">
        <v>22</v>
      </c>
      <c r="B10" s="86">
        <v>3932.03</v>
      </c>
      <c r="C10" s="18">
        <f>ROUND(B10/B12,3)</f>
        <v>1</v>
      </c>
      <c r="D10" s="9"/>
      <c r="E10" s="11"/>
      <c r="F10" s="9"/>
    </row>
    <row r="11" spans="1:6" ht="24" customHeight="1" x14ac:dyDescent="0.3">
      <c r="A11" s="85" t="s">
        <v>23</v>
      </c>
      <c r="B11" s="86">
        <v>3932.03</v>
      </c>
      <c r="C11" s="18">
        <f>ROUND(B11/B12,3)</f>
        <v>1</v>
      </c>
      <c r="D11" s="9"/>
      <c r="E11" s="11"/>
      <c r="F11" s="9"/>
    </row>
    <row r="12" spans="1:6" ht="24" customHeight="1" x14ac:dyDescent="0.3">
      <c r="A12" s="87" t="s">
        <v>28</v>
      </c>
      <c r="B12" s="86">
        <v>3932.03</v>
      </c>
      <c r="C12" s="88">
        <v>1</v>
      </c>
      <c r="D12" s="12"/>
      <c r="E12" s="9"/>
      <c r="F12" s="9"/>
    </row>
    <row r="13" spans="1:6" x14ac:dyDescent="0.3">
      <c r="D13" s="13"/>
    </row>
    <row r="14" spans="1:6" x14ac:dyDescent="0.3">
      <c r="A14" s="7" t="s">
        <v>78</v>
      </c>
    </row>
    <row r="15" spans="1:6" ht="54.75" customHeight="1" x14ac:dyDescent="0.3">
      <c r="A15" s="175" t="s">
        <v>79</v>
      </c>
      <c r="B15" s="176"/>
      <c r="C15" s="176"/>
    </row>
  </sheetData>
  <mergeCells count="3">
    <mergeCell ref="A1:C1"/>
    <mergeCell ref="A3:D3"/>
    <mergeCell ref="A15:C15"/>
  </mergeCells>
  <pageMargins left="0.70866141732283472" right="0.70866141732283472" top="0.74803149606299213" bottom="0.74803149606299213" header="0.31496062992125984" footer="0.31496062992125984"/>
  <pageSetup paperSize="9" firstPageNumber="89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>
      <selection activeCell="F20" sqref="F20:F21"/>
    </sheetView>
  </sheetViews>
  <sheetFormatPr defaultRowHeight="18.75" x14ac:dyDescent="0.3"/>
  <cols>
    <col min="1" max="1" width="28" style="30" customWidth="1"/>
    <col min="2" max="2" width="17.28515625" style="30" customWidth="1"/>
    <col min="3" max="3" width="22.85546875" style="30" customWidth="1"/>
    <col min="4" max="4" width="21.5703125" style="30" customWidth="1"/>
    <col min="5" max="5" width="18.42578125" style="30" customWidth="1"/>
    <col min="6" max="6" width="22.28515625" style="30" customWidth="1"/>
    <col min="7" max="7" width="21" style="30" customWidth="1"/>
    <col min="8" max="8" width="28.7109375" style="30" customWidth="1"/>
    <col min="9" max="16384" width="9.140625" style="30"/>
  </cols>
  <sheetData>
    <row r="1" spans="1:8" x14ac:dyDescent="0.3">
      <c r="A1" s="178" t="s">
        <v>24</v>
      </c>
      <c r="B1" s="178"/>
      <c r="C1" s="178"/>
      <c r="D1" s="178"/>
      <c r="E1" s="178"/>
      <c r="F1" s="178"/>
      <c r="G1" s="178"/>
      <c r="H1" s="178"/>
    </row>
    <row r="2" spans="1:8" x14ac:dyDescent="0.3">
      <c r="A2" s="31"/>
      <c r="B2" s="178" t="s">
        <v>108</v>
      </c>
      <c r="C2" s="178"/>
      <c r="D2" s="178"/>
      <c r="E2" s="178"/>
      <c r="F2" s="178"/>
      <c r="G2" s="178"/>
      <c r="H2" s="31"/>
    </row>
    <row r="3" spans="1:8" x14ac:dyDescent="0.3">
      <c r="A3" s="31" t="s">
        <v>59</v>
      </c>
      <c r="B3" s="31"/>
      <c r="C3" s="31"/>
      <c r="D3" s="31"/>
      <c r="E3" s="31"/>
      <c r="F3" s="31"/>
      <c r="G3" s="31"/>
      <c r="H3" s="31"/>
    </row>
    <row r="4" spans="1:8" ht="12.75" customHeight="1" x14ac:dyDescent="0.3">
      <c r="A4" s="177" t="s">
        <v>25</v>
      </c>
      <c r="B4" s="177" t="s">
        <v>169</v>
      </c>
      <c r="C4" s="177" t="s">
        <v>26</v>
      </c>
      <c r="D4" s="177" t="s">
        <v>98</v>
      </c>
      <c r="E4" s="177" t="s">
        <v>99</v>
      </c>
      <c r="F4" s="177" t="s">
        <v>39</v>
      </c>
      <c r="G4" s="177" t="s">
        <v>100</v>
      </c>
      <c r="H4" s="177" t="s">
        <v>101</v>
      </c>
    </row>
    <row r="5" spans="1:8" ht="163.5" customHeight="1" x14ac:dyDescent="0.3">
      <c r="A5" s="177"/>
      <c r="B5" s="177"/>
      <c r="C5" s="177"/>
      <c r="D5" s="177"/>
      <c r="E5" s="177"/>
      <c r="F5" s="177"/>
      <c r="G5" s="177"/>
      <c r="H5" s="177"/>
    </row>
    <row r="6" spans="1:8" x14ac:dyDescent="0.3">
      <c r="A6" s="32">
        <v>1</v>
      </c>
      <c r="B6" s="33">
        <v>2</v>
      </c>
      <c r="C6" s="33">
        <v>3</v>
      </c>
      <c r="D6" s="33">
        <v>4</v>
      </c>
      <c r="E6" s="33">
        <v>5</v>
      </c>
      <c r="F6" s="33">
        <v>6</v>
      </c>
      <c r="G6" s="33">
        <v>7</v>
      </c>
      <c r="H6" s="33">
        <v>9</v>
      </c>
    </row>
    <row r="7" spans="1:8" ht="18" customHeight="1" x14ac:dyDescent="0.3">
      <c r="A7" s="34" t="s">
        <v>18</v>
      </c>
      <c r="B7" s="81">
        <v>6589</v>
      </c>
      <c r="C7" s="82">
        <f t="shared" ref="C7:C12" si="0">ROUND(B7/B$13,3)</f>
        <v>0.86299999999999999</v>
      </c>
      <c r="D7" s="38">
        <v>2.2000000000000002</v>
      </c>
      <c r="E7" s="39">
        <v>0.25</v>
      </c>
      <c r="F7" s="39">
        <f>D7+E7</f>
        <v>2.4500000000000002</v>
      </c>
      <c r="G7" s="39">
        <f>'91 коэф. на дисперстность'!E6</f>
        <v>1.0095613901957809</v>
      </c>
      <c r="H7" s="39">
        <f>F7*G7/'92 сред взв коэ на диферен з.п'!G13</f>
        <v>1.0099736243281598</v>
      </c>
    </row>
    <row r="8" spans="1:8" ht="18" customHeight="1" x14ac:dyDescent="0.3">
      <c r="A8" s="34" t="s">
        <v>19</v>
      </c>
      <c r="B8" s="81">
        <v>369</v>
      </c>
      <c r="C8" s="82">
        <f t="shared" si="0"/>
        <v>4.8000000000000001E-2</v>
      </c>
      <c r="D8" s="38">
        <v>2.2000000000000002</v>
      </c>
      <c r="E8" s="39">
        <v>0.25</v>
      </c>
      <c r="F8" s="39">
        <f t="shared" ref="F8:F12" si="1">D8+E8</f>
        <v>2.4500000000000002</v>
      </c>
      <c r="G8" s="39">
        <f>'91 коэф. на дисперстность'!E7</f>
        <v>2</v>
      </c>
      <c r="H8" s="39">
        <f>F8*G8/'92 сред взв коэ на диферен з.п'!G13</f>
        <v>2.0008166598611683</v>
      </c>
    </row>
    <row r="9" spans="1:8" ht="18" customHeight="1" x14ac:dyDescent="0.3">
      <c r="A9" s="34" t="s">
        <v>20</v>
      </c>
      <c r="B9" s="81">
        <v>366</v>
      </c>
      <c r="C9" s="82">
        <f t="shared" si="0"/>
        <v>4.8000000000000001E-2</v>
      </c>
      <c r="D9" s="38">
        <v>2.2000000000000002</v>
      </c>
      <c r="E9" s="39">
        <v>0.25</v>
      </c>
      <c r="F9" s="39">
        <f t="shared" si="1"/>
        <v>2.4500000000000002</v>
      </c>
      <c r="G9" s="39">
        <f>'91 коэф. на дисперстность'!E8</f>
        <v>2</v>
      </c>
      <c r="H9" s="39">
        <f>F9*G9/'92 сред взв коэ на диферен з.п'!G13</f>
        <v>2.0008166598611683</v>
      </c>
    </row>
    <row r="10" spans="1:8" ht="18" customHeight="1" x14ac:dyDescent="0.3">
      <c r="A10" s="34" t="s">
        <v>21</v>
      </c>
      <c r="B10" s="81">
        <v>148</v>
      </c>
      <c r="C10" s="82">
        <f t="shared" si="0"/>
        <v>1.9E-2</v>
      </c>
      <c r="D10" s="38">
        <v>2.2000000000000002</v>
      </c>
      <c r="E10" s="39">
        <v>0.25</v>
      </c>
      <c r="F10" s="39">
        <f t="shared" si="1"/>
        <v>2.4500000000000002</v>
      </c>
      <c r="G10" s="39">
        <f>'91 коэф. на дисперстность'!E9</f>
        <v>2</v>
      </c>
      <c r="H10" s="39">
        <f>F10*G10/'92 сред взв коэ на диферен з.п'!G13</f>
        <v>2.0008166598611683</v>
      </c>
    </row>
    <row r="11" spans="1:8" ht="18" customHeight="1" x14ac:dyDescent="0.3">
      <c r="A11" s="34" t="s">
        <v>22</v>
      </c>
      <c r="B11" s="81">
        <v>103</v>
      </c>
      <c r="C11" s="82">
        <f t="shared" si="0"/>
        <v>1.2999999999999999E-2</v>
      </c>
      <c r="D11" s="38">
        <v>2.2000000000000002</v>
      </c>
      <c r="E11" s="39">
        <v>0.25</v>
      </c>
      <c r="F11" s="39">
        <f t="shared" si="1"/>
        <v>2.4500000000000002</v>
      </c>
      <c r="G11" s="39">
        <f>'91 коэф. на дисперстность'!E10</f>
        <v>2</v>
      </c>
      <c r="H11" s="39">
        <f>F11*G11/'92 сред взв коэ на диферен з.п'!G13</f>
        <v>2.0008166598611683</v>
      </c>
    </row>
    <row r="12" spans="1:8" ht="18" customHeight="1" x14ac:dyDescent="0.3">
      <c r="A12" s="34" t="s">
        <v>23</v>
      </c>
      <c r="B12" s="81">
        <v>62</v>
      </c>
      <c r="C12" s="82">
        <f t="shared" si="0"/>
        <v>8.0000000000000002E-3</v>
      </c>
      <c r="D12" s="38">
        <v>2.2000000000000002</v>
      </c>
      <c r="E12" s="39">
        <v>0.25</v>
      </c>
      <c r="F12" s="39">
        <f t="shared" si="1"/>
        <v>2.4500000000000002</v>
      </c>
      <c r="G12" s="39">
        <f>'91 коэф. на дисперстность'!E11</f>
        <v>2</v>
      </c>
      <c r="H12" s="39">
        <f>F12*G12/'92 сред взв коэ на диферен з.п'!G13</f>
        <v>2.0008166598611683</v>
      </c>
    </row>
    <row r="13" spans="1:8" x14ac:dyDescent="0.3">
      <c r="A13" s="35"/>
      <c r="B13" s="83">
        <f>B7+B8+B9+B10+B11+B12</f>
        <v>7637</v>
      </c>
      <c r="C13" s="84">
        <f>SUM(C7:C12)</f>
        <v>0.99900000000000011</v>
      </c>
      <c r="D13" s="45">
        <v>2.2000000000000002</v>
      </c>
      <c r="E13" s="45">
        <v>0.25</v>
      </c>
      <c r="F13" s="39">
        <f>D13+E13</f>
        <v>2.4500000000000002</v>
      </c>
      <c r="G13" s="39">
        <f>'91 коэф. на дисперстность'!E12</f>
        <v>1.1454759722404084</v>
      </c>
      <c r="H13" s="39">
        <f>F13*G13/'92 сред взв коэ на диферен з.п'!G13</f>
        <v>1.145943704364639</v>
      </c>
    </row>
    <row r="15" spans="1:8" x14ac:dyDescent="0.3">
      <c r="B15" s="30" t="s">
        <v>58</v>
      </c>
    </row>
  </sheetData>
  <mergeCells count="10">
    <mergeCell ref="G4:G5"/>
    <mergeCell ref="H4:H5"/>
    <mergeCell ref="A1:H1"/>
    <mergeCell ref="B2:G2"/>
    <mergeCell ref="A4:A5"/>
    <mergeCell ref="B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scale="68" firstPageNumber="90" orientation="landscape" useFirstPageNumber="1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D19" sqref="D19"/>
    </sheetView>
  </sheetViews>
  <sheetFormatPr defaultRowHeight="12.75" x14ac:dyDescent="0.2"/>
  <cols>
    <col min="1" max="1" width="19.28515625" style="36" customWidth="1"/>
    <col min="2" max="2" width="14.28515625" style="36" customWidth="1"/>
    <col min="3" max="3" width="23.28515625" style="36" customWidth="1"/>
    <col min="4" max="4" width="23.5703125" style="36" customWidth="1"/>
    <col min="5" max="5" width="22" style="36" customWidth="1"/>
    <col min="6" max="16384" width="9.140625" style="36"/>
  </cols>
  <sheetData>
    <row r="1" spans="1:5" ht="15.75" x14ac:dyDescent="0.25">
      <c r="A1" s="163" t="s">
        <v>24</v>
      </c>
      <c r="B1" s="163"/>
      <c r="C1" s="163"/>
      <c r="D1" s="163"/>
      <c r="E1" s="163"/>
    </row>
    <row r="2" spans="1:5" ht="15.75" x14ac:dyDescent="0.25">
      <c r="A2" s="179" t="s">
        <v>109</v>
      </c>
      <c r="B2" s="179"/>
      <c r="C2" s="179"/>
      <c r="D2" s="179"/>
      <c r="E2" s="179"/>
    </row>
    <row r="3" spans="1:5" x14ac:dyDescent="0.2">
      <c r="A3" s="180" t="s">
        <v>25</v>
      </c>
      <c r="B3" s="180" t="s">
        <v>170</v>
      </c>
      <c r="C3" s="180" t="s">
        <v>103</v>
      </c>
      <c r="D3" s="180" t="s">
        <v>104</v>
      </c>
      <c r="E3" s="180" t="s">
        <v>62</v>
      </c>
    </row>
    <row r="4" spans="1:5" ht="107.25" customHeight="1" x14ac:dyDescent="0.2">
      <c r="A4" s="180"/>
      <c r="B4" s="180"/>
      <c r="C4" s="180"/>
      <c r="D4" s="180"/>
      <c r="E4" s="180"/>
    </row>
    <row r="5" spans="1:5" ht="15.75" x14ac:dyDescent="0.25">
      <c r="A5" s="37">
        <v>1</v>
      </c>
      <c r="B5" s="38">
        <v>2</v>
      </c>
      <c r="C5" s="38">
        <v>3</v>
      </c>
      <c r="D5" s="38">
        <v>4</v>
      </c>
      <c r="E5" s="38">
        <v>5</v>
      </c>
    </row>
    <row r="6" spans="1:5" ht="19.5" customHeight="1" x14ac:dyDescent="0.25">
      <c r="A6" s="27" t="s">
        <v>18</v>
      </c>
      <c r="B6" s="81">
        <v>6589</v>
      </c>
      <c r="C6" s="37">
        <v>63</v>
      </c>
      <c r="D6" s="39">
        <f>C6/B6</f>
        <v>9.5613901957808476E-3</v>
      </c>
      <c r="E6" s="40">
        <f t="shared" ref="E6:E11" si="0">D6+1</f>
        <v>1.0095613901957809</v>
      </c>
    </row>
    <row r="7" spans="1:5" ht="19.5" customHeight="1" x14ac:dyDescent="0.25">
      <c r="A7" s="27" t="s">
        <v>19</v>
      </c>
      <c r="B7" s="81">
        <v>369</v>
      </c>
      <c r="C7" s="81">
        <v>369</v>
      </c>
      <c r="D7" s="39">
        <f>C7/B7</f>
        <v>1</v>
      </c>
      <c r="E7" s="40">
        <f t="shared" si="0"/>
        <v>2</v>
      </c>
    </row>
    <row r="8" spans="1:5" ht="19.5" customHeight="1" x14ac:dyDescent="0.25">
      <c r="A8" s="27" t="s">
        <v>20</v>
      </c>
      <c r="B8" s="81">
        <v>366</v>
      </c>
      <c r="C8" s="81">
        <v>366</v>
      </c>
      <c r="D8" s="39">
        <f>C8/B8</f>
        <v>1</v>
      </c>
      <c r="E8" s="40">
        <f t="shared" si="0"/>
        <v>2</v>
      </c>
    </row>
    <row r="9" spans="1:5" ht="19.5" customHeight="1" x14ac:dyDescent="0.25">
      <c r="A9" s="27" t="s">
        <v>21</v>
      </c>
      <c r="B9" s="81">
        <v>148</v>
      </c>
      <c r="C9" s="81">
        <v>148</v>
      </c>
      <c r="D9" s="39">
        <f>C9/B9</f>
        <v>1</v>
      </c>
      <c r="E9" s="40">
        <f t="shared" si="0"/>
        <v>2</v>
      </c>
    </row>
    <row r="10" spans="1:5" ht="19.5" customHeight="1" x14ac:dyDescent="0.25">
      <c r="A10" s="27" t="s">
        <v>22</v>
      </c>
      <c r="B10" s="81">
        <v>103</v>
      </c>
      <c r="C10" s="81">
        <v>103</v>
      </c>
      <c r="D10" s="39">
        <f t="shared" ref="D10:D11" si="1">C10/B10</f>
        <v>1</v>
      </c>
      <c r="E10" s="40">
        <f t="shared" si="0"/>
        <v>2</v>
      </c>
    </row>
    <row r="11" spans="1:5" ht="19.5" customHeight="1" x14ac:dyDescent="0.25">
      <c r="A11" s="27" t="s">
        <v>23</v>
      </c>
      <c r="B11" s="81">
        <v>62</v>
      </c>
      <c r="C11" s="81">
        <v>62</v>
      </c>
      <c r="D11" s="39">
        <f t="shared" si="1"/>
        <v>1</v>
      </c>
      <c r="E11" s="40">
        <f t="shared" si="0"/>
        <v>2</v>
      </c>
    </row>
    <row r="12" spans="1:5" ht="15.75" x14ac:dyDescent="0.25">
      <c r="A12" s="41" t="s">
        <v>17</v>
      </c>
      <c r="B12" s="42">
        <f>B6+B7+B8+B9+B10+B11</f>
        <v>7637</v>
      </c>
      <c r="C12" s="43">
        <f>C6+C7+C8+C9+C10+C11</f>
        <v>1111</v>
      </c>
      <c r="D12" s="44">
        <f>C12/B12</f>
        <v>0.14547597224040854</v>
      </c>
      <c r="E12" s="45">
        <f>1+D12</f>
        <v>1.1454759722404084</v>
      </c>
    </row>
    <row r="15" spans="1:5" x14ac:dyDescent="0.2">
      <c r="A15" s="46" t="s">
        <v>80</v>
      </c>
    </row>
  </sheetData>
  <mergeCells count="7">
    <mergeCell ref="A1:E1"/>
    <mergeCell ref="A2:E2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firstPageNumber="91" orientation="landscape" useFirstPageNumber="1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zoomScaleNormal="100" workbookViewId="0">
      <selection activeCell="B25" sqref="B24:B25"/>
    </sheetView>
  </sheetViews>
  <sheetFormatPr defaultRowHeight="12.75" x14ac:dyDescent="0.2"/>
  <cols>
    <col min="1" max="1" width="23.28515625" style="36" customWidth="1"/>
    <col min="2" max="2" width="16.85546875" style="36" customWidth="1"/>
    <col min="3" max="3" width="17.7109375" style="36" customWidth="1"/>
    <col min="4" max="4" width="17" style="36" customWidth="1"/>
    <col min="5" max="5" width="23" style="36" customWidth="1"/>
    <col min="6" max="6" width="16" style="36" customWidth="1"/>
    <col min="7" max="7" width="17.85546875" style="36" customWidth="1"/>
    <col min="8" max="16384" width="9.140625" style="36"/>
  </cols>
  <sheetData>
    <row r="2" spans="1:8" ht="15.75" x14ac:dyDescent="0.2">
      <c r="A2" s="181" t="s">
        <v>32</v>
      </c>
      <c r="B2" s="181"/>
      <c r="C2" s="181"/>
      <c r="D2" s="181"/>
      <c r="E2" s="181"/>
      <c r="F2" s="181"/>
      <c r="G2" s="181"/>
      <c r="H2" s="181"/>
    </row>
    <row r="3" spans="1:8" ht="15.75" x14ac:dyDescent="0.2">
      <c r="A3" s="181" t="s">
        <v>110</v>
      </c>
      <c r="B3" s="181"/>
      <c r="C3" s="181"/>
      <c r="D3" s="181"/>
      <c r="E3" s="181"/>
      <c r="F3" s="181"/>
      <c r="G3" s="181"/>
      <c r="H3" s="181"/>
    </row>
    <row r="4" spans="1:8" ht="15.75" x14ac:dyDescent="0.2">
      <c r="A4" s="62"/>
      <c r="B4" s="62"/>
      <c r="C4" s="62"/>
      <c r="D4" s="62"/>
      <c r="E4" s="62"/>
      <c r="F4" s="62"/>
      <c r="G4" s="62"/>
      <c r="H4" s="62"/>
    </row>
    <row r="5" spans="1:8" ht="99.75" customHeight="1" x14ac:dyDescent="0.2">
      <c r="A5" s="89" t="s">
        <v>33</v>
      </c>
      <c r="B5" s="89" t="s">
        <v>178</v>
      </c>
      <c r="C5" s="89" t="s">
        <v>34</v>
      </c>
      <c r="D5" s="89" t="s">
        <v>35</v>
      </c>
      <c r="E5" s="89" t="s">
        <v>36</v>
      </c>
      <c r="F5" s="89" t="s">
        <v>37</v>
      </c>
      <c r="G5" s="89" t="s">
        <v>63</v>
      </c>
      <c r="H5" s="62"/>
    </row>
    <row r="6" spans="1:8" ht="15.75" x14ac:dyDescent="0.2">
      <c r="A6" s="64">
        <v>1</v>
      </c>
      <c r="B6" s="65">
        <v>3</v>
      </c>
      <c r="C6" s="66">
        <v>2</v>
      </c>
      <c r="D6" s="63">
        <v>5</v>
      </c>
      <c r="E6" s="63">
        <v>6</v>
      </c>
      <c r="F6" s="63">
        <v>7</v>
      </c>
      <c r="G6" s="63">
        <v>8</v>
      </c>
      <c r="H6" s="62"/>
    </row>
    <row r="7" spans="1:8" ht="15.75" x14ac:dyDescent="0.25">
      <c r="A7" s="67" t="s">
        <v>18</v>
      </c>
      <c r="B7" s="81">
        <v>6589</v>
      </c>
      <c r="C7" s="68">
        <v>2.2000000000000002</v>
      </c>
      <c r="D7" s="69">
        <v>0.25</v>
      </c>
      <c r="E7" s="70">
        <f>C7+D7</f>
        <v>2.4500000000000002</v>
      </c>
      <c r="F7" s="69">
        <f>ROUND(B7/$B$13,3)</f>
        <v>0.86299999999999999</v>
      </c>
      <c r="G7" s="69">
        <f>ROUND(E7*F7,3)</f>
        <v>2.1139999999999999</v>
      </c>
      <c r="H7" s="62"/>
    </row>
    <row r="8" spans="1:8" ht="15.75" x14ac:dyDescent="0.25">
      <c r="A8" s="67" t="s">
        <v>19</v>
      </c>
      <c r="B8" s="81">
        <v>369</v>
      </c>
      <c r="C8" s="68">
        <v>2.2000000000000002</v>
      </c>
      <c r="D8" s="69">
        <v>0.25</v>
      </c>
      <c r="E8" s="70">
        <f t="shared" ref="E8:E13" si="0">C8+D8</f>
        <v>2.4500000000000002</v>
      </c>
      <c r="F8" s="69">
        <f t="shared" ref="F8:F12" si="1">ROUND(B8/$B$13,3)</f>
        <v>4.8000000000000001E-2</v>
      </c>
      <c r="G8" s="69">
        <f>ROUND(E8*F8,3)</f>
        <v>0.11799999999999999</v>
      </c>
      <c r="H8" s="62"/>
    </row>
    <row r="9" spans="1:8" ht="15.75" x14ac:dyDescent="0.25">
      <c r="A9" s="67" t="s">
        <v>20</v>
      </c>
      <c r="B9" s="81">
        <v>366</v>
      </c>
      <c r="C9" s="68">
        <v>2.2000000000000002</v>
      </c>
      <c r="D9" s="69">
        <v>0.25</v>
      </c>
      <c r="E9" s="70">
        <f t="shared" si="0"/>
        <v>2.4500000000000002</v>
      </c>
      <c r="F9" s="69">
        <f t="shared" si="1"/>
        <v>4.8000000000000001E-2</v>
      </c>
      <c r="G9" s="69">
        <f t="shared" ref="G9:G12" si="2">ROUND(E9*F9,3)</f>
        <v>0.11799999999999999</v>
      </c>
      <c r="H9" s="62"/>
    </row>
    <row r="10" spans="1:8" ht="15.75" x14ac:dyDescent="0.25">
      <c r="A10" s="67" t="s">
        <v>21</v>
      </c>
      <c r="B10" s="81">
        <v>148</v>
      </c>
      <c r="C10" s="68">
        <v>2.2000000000000002</v>
      </c>
      <c r="D10" s="69">
        <v>0.25</v>
      </c>
      <c r="E10" s="70">
        <f t="shared" si="0"/>
        <v>2.4500000000000002</v>
      </c>
      <c r="F10" s="69">
        <f t="shared" si="1"/>
        <v>1.9E-2</v>
      </c>
      <c r="G10" s="69">
        <f t="shared" si="2"/>
        <v>4.7E-2</v>
      </c>
      <c r="H10" s="62"/>
    </row>
    <row r="11" spans="1:8" ht="15.75" x14ac:dyDescent="0.25">
      <c r="A11" s="67" t="s">
        <v>22</v>
      </c>
      <c r="B11" s="81">
        <v>103</v>
      </c>
      <c r="C11" s="68">
        <v>2.2000000000000002</v>
      </c>
      <c r="D11" s="69">
        <v>0.25</v>
      </c>
      <c r="E11" s="70">
        <f t="shared" si="0"/>
        <v>2.4500000000000002</v>
      </c>
      <c r="F11" s="69">
        <f t="shared" si="1"/>
        <v>1.2999999999999999E-2</v>
      </c>
      <c r="G11" s="69">
        <f t="shared" si="2"/>
        <v>3.2000000000000001E-2</v>
      </c>
      <c r="H11" s="62"/>
    </row>
    <row r="12" spans="1:8" ht="15.75" x14ac:dyDescent="0.25">
      <c r="A12" s="67" t="s">
        <v>23</v>
      </c>
      <c r="B12" s="81">
        <v>62</v>
      </c>
      <c r="C12" s="68">
        <v>2.2000000000000002</v>
      </c>
      <c r="D12" s="69">
        <v>0.25</v>
      </c>
      <c r="E12" s="70">
        <f t="shared" si="0"/>
        <v>2.4500000000000002</v>
      </c>
      <c r="F12" s="69">
        <f t="shared" si="1"/>
        <v>8.0000000000000002E-3</v>
      </c>
      <c r="G12" s="69">
        <f t="shared" si="2"/>
        <v>0.02</v>
      </c>
      <c r="H12" s="62"/>
    </row>
    <row r="13" spans="1:8" ht="15.75" x14ac:dyDescent="0.2">
      <c r="A13" s="71" t="s">
        <v>38</v>
      </c>
      <c r="B13" s="72">
        <f>B7+B8+B9+B10+B11+B12</f>
        <v>7637</v>
      </c>
      <c r="C13" s="69">
        <v>2.2000000000000002</v>
      </c>
      <c r="D13" s="73">
        <v>0.25</v>
      </c>
      <c r="E13" s="70">
        <f t="shared" si="0"/>
        <v>2.4500000000000002</v>
      </c>
      <c r="F13" s="73">
        <f>B13/$B$13</f>
        <v>1</v>
      </c>
      <c r="G13" s="73">
        <f>SUM(G7:G12)</f>
        <v>2.4489999999999998</v>
      </c>
      <c r="H13" s="74"/>
    </row>
    <row r="15" spans="1:8" x14ac:dyDescent="0.2">
      <c r="F15" s="75"/>
    </row>
    <row r="16" spans="1:8" x14ac:dyDescent="0.2">
      <c r="A16" s="46" t="s">
        <v>81</v>
      </c>
    </row>
    <row r="18" spans="1:7" ht="27.75" customHeight="1" x14ac:dyDescent="0.2">
      <c r="A18" s="182" t="s">
        <v>82</v>
      </c>
      <c r="B18" s="183"/>
      <c r="C18" s="183"/>
      <c r="D18" s="183"/>
      <c r="E18" s="183"/>
      <c r="F18" s="183"/>
      <c r="G18" s="183"/>
    </row>
  </sheetData>
  <mergeCells count="3">
    <mergeCell ref="A2:H2"/>
    <mergeCell ref="A3:H3"/>
    <mergeCell ref="A18:G18"/>
  </mergeCells>
  <pageMargins left="0.70866141732283472" right="0.70866141732283472" top="0.74803149606299213" bottom="0.74803149606299213" header="0.31496062992125984" footer="0.31496062992125984"/>
  <pageSetup paperSize="9" firstPageNumber="92" orientation="landscape" useFirstPageNumber="1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selection activeCell="E10" sqref="E10"/>
    </sheetView>
  </sheetViews>
  <sheetFormatPr defaultRowHeight="12.75" x14ac:dyDescent="0.2"/>
  <cols>
    <col min="1" max="1" width="19.28515625" style="36" customWidth="1"/>
    <col min="2" max="2" width="18" style="36" customWidth="1"/>
    <col min="3" max="3" width="17" style="36" customWidth="1"/>
    <col min="4" max="4" width="14.7109375" style="36" customWidth="1"/>
    <col min="5" max="6" width="15.7109375" style="36" customWidth="1"/>
    <col min="7" max="7" width="17.28515625" style="36" customWidth="1"/>
    <col min="8" max="8" width="14.42578125" style="36" customWidth="1"/>
    <col min="9" max="16384" width="9.140625" style="36"/>
  </cols>
  <sheetData>
    <row r="1" spans="1:10" ht="15.75" x14ac:dyDescent="0.25">
      <c r="A1" s="163" t="s">
        <v>111</v>
      </c>
      <c r="B1" s="163"/>
      <c r="C1" s="163"/>
      <c r="D1" s="163"/>
      <c r="E1" s="163"/>
      <c r="F1" s="163"/>
      <c r="G1" s="163"/>
      <c r="H1" s="163"/>
    </row>
    <row r="2" spans="1:10" ht="15.75" x14ac:dyDescent="0.25">
      <c r="A2" s="22" t="s">
        <v>64</v>
      </c>
      <c r="B2" s="22"/>
      <c r="C2" s="22"/>
      <c r="D2" s="22"/>
      <c r="E2" s="22"/>
      <c r="F2" s="22"/>
      <c r="G2" s="22"/>
      <c r="H2" s="22"/>
    </row>
    <row r="3" spans="1:10" ht="15.75" x14ac:dyDescent="0.2">
      <c r="A3" s="180" t="s">
        <v>25</v>
      </c>
      <c r="B3" s="180" t="s">
        <v>77</v>
      </c>
      <c r="C3" s="185" t="s">
        <v>69</v>
      </c>
      <c r="D3" s="180" t="s">
        <v>66</v>
      </c>
      <c r="E3" s="185" t="s">
        <v>76</v>
      </c>
      <c r="F3" s="47"/>
      <c r="G3" s="180" t="s">
        <v>75</v>
      </c>
      <c r="H3" s="185" t="s">
        <v>65</v>
      </c>
    </row>
    <row r="4" spans="1:10" ht="95.25" customHeight="1" x14ac:dyDescent="0.2">
      <c r="A4" s="180"/>
      <c r="B4" s="180"/>
      <c r="C4" s="186"/>
      <c r="D4" s="180"/>
      <c r="E4" s="186"/>
      <c r="F4" s="48" t="s">
        <v>72</v>
      </c>
      <c r="G4" s="180"/>
      <c r="H4" s="186"/>
      <c r="I4" s="46" t="s">
        <v>67</v>
      </c>
    </row>
    <row r="5" spans="1:10" ht="15.75" x14ac:dyDescent="0.25">
      <c r="A5" s="37">
        <v>1</v>
      </c>
      <c r="B5" s="38">
        <v>2</v>
      </c>
      <c r="C5" s="38">
        <v>3</v>
      </c>
      <c r="D5" s="38">
        <v>4</v>
      </c>
      <c r="E5" s="38">
        <v>5</v>
      </c>
      <c r="F5" s="38"/>
      <c r="G5" s="38">
        <v>6</v>
      </c>
      <c r="H5" s="38">
        <v>7</v>
      </c>
    </row>
    <row r="6" spans="1:10" ht="20.25" customHeight="1" x14ac:dyDescent="0.25">
      <c r="A6" s="27" t="s">
        <v>18</v>
      </c>
      <c r="B6" s="28">
        <f>ROUND(C6/E6,3)</f>
        <v>7.5</v>
      </c>
      <c r="C6" s="49">
        <v>15</v>
      </c>
      <c r="D6" s="28">
        <f>ROUND(B6/$B$12,3)</f>
        <v>0.105</v>
      </c>
      <c r="E6" s="50">
        <v>2</v>
      </c>
      <c r="F6" s="50">
        <v>1</v>
      </c>
      <c r="G6" s="28">
        <f>E6/E12</f>
        <v>0.25</v>
      </c>
      <c r="H6" s="28">
        <f t="shared" ref="H6:H12" si="0">D6+G6</f>
        <v>0.35499999999999998</v>
      </c>
      <c r="I6" s="36">
        <f>B6/F12</f>
        <v>1.25</v>
      </c>
      <c r="J6" s="36">
        <f>B6/I6</f>
        <v>6</v>
      </c>
    </row>
    <row r="7" spans="1:10" ht="20.25" customHeight="1" x14ac:dyDescent="0.25">
      <c r="A7" s="27" t="s">
        <v>19</v>
      </c>
      <c r="B7" s="28">
        <f t="shared" ref="B7:B9" si="1">ROUND(C7/E7,3)</f>
        <v>45</v>
      </c>
      <c r="C7" s="49">
        <v>45</v>
      </c>
      <c r="D7" s="28">
        <f>B7/B12</f>
        <v>0.62827225130890052</v>
      </c>
      <c r="E7" s="50">
        <v>1</v>
      </c>
      <c r="F7" s="50">
        <v>1</v>
      </c>
      <c r="G7" s="28">
        <f>E7/E12</f>
        <v>0.125</v>
      </c>
      <c r="H7" s="28">
        <f t="shared" si="0"/>
        <v>0.75327225130890052</v>
      </c>
      <c r="I7" s="36">
        <f>B7/F12</f>
        <v>7.5</v>
      </c>
    </row>
    <row r="8" spans="1:10" ht="20.25" customHeight="1" x14ac:dyDescent="0.25">
      <c r="A8" s="27" t="s">
        <v>20</v>
      </c>
      <c r="B8" s="28">
        <v>100</v>
      </c>
      <c r="C8" s="49">
        <v>90</v>
      </c>
      <c r="D8" s="28">
        <f>ROUND(B8/$B$12,3)</f>
        <v>1.3959999999999999</v>
      </c>
      <c r="E8" s="50">
        <v>1</v>
      </c>
      <c r="F8" s="50">
        <v>1</v>
      </c>
      <c r="G8" s="28">
        <f>E8/E12</f>
        <v>0.125</v>
      </c>
      <c r="H8" s="28">
        <f t="shared" si="0"/>
        <v>1.5209999999999999</v>
      </c>
      <c r="I8" s="36">
        <f>B8/F12</f>
        <v>16.666666666666668</v>
      </c>
    </row>
    <row r="9" spans="1:10" ht="20.25" customHeight="1" x14ac:dyDescent="0.25">
      <c r="A9" s="27" t="s">
        <v>21</v>
      </c>
      <c r="B9" s="28">
        <f t="shared" si="1"/>
        <v>150</v>
      </c>
      <c r="C9" s="49">
        <v>150</v>
      </c>
      <c r="D9" s="28">
        <f>ROUND(B9/$B$12,3)</f>
        <v>2.0939999999999999</v>
      </c>
      <c r="E9" s="50">
        <v>1</v>
      </c>
      <c r="F9" s="50">
        <v>1</v>
      </c>
      <c r="G9" s="28">
        <f>E9/E12</f>
        <v>0.125</v>
      </c>
      <c r="H9" s="28">
        <f t="shared" si="0"/>
        <v>2.2189999999999999</v>
      </c>
      <c r="I9" s="36">
        <f>B9/F12</f>
        <v>25</v>
      </c>
    </row>
    <row r="10" spans="1:10" ht="20.25" customHeight="1" x14ac:dyDescent="0.25">
      <c r="A10" s="27" t="s">
        <v>22</v>
      </c>
      <c r="B10" s="28">
        <v>190</v>
      </c>
      <c r="C10" s="49">
        <v>190</v>
      </c>
      <c r="D10" s="28">
        <f>ROUND(B10/$B$12,3)</f>
        <v>2.653</v>
      </c>
      <c r="E10" s="50">
        <v>1</v>
      </c>
      <c r="F10" s="50">
        <v>1</v>
      </c>
      <c r="G10" s="28">
        <f>E10/E12</f>
        <v>0.125</v>
      </c>
      <c r="H10" s="28">
        <f t="shared" si="0"/>
        <v>2.778</v>
      </c>
      <c r="I10" s="36">
        <f>B10/F12</f>
        <v>31.666666666666668</v>
      </c>
    </row>
    <row r="11" spans="1:10" ht="20.25" customHeight="1" x14ac:dyDescent="0.25">
      <c r="A11" s="27" t="s">
        <v>23</v>
      </c>
      <c r="B11" s="28">
        <v>41.5</v>
      </c>
      <c r="C11" s="49">
        <v>83</v>
      </c>
      <c r="D11" s="28">
        <f>ROUND(B11/$B$12,3)</f>
        <v>0.57899999999999996</v>
      </c>
      <c r="E11" s="50">
        <v>2</v>
      </c>
      <c r="F11" s="50">
        <v>1</v>
      </c>
      <c r="G11" s="28">
        <f>E11/E12</f>
        <v>0.25</v>
      </c>
      <c r="H11" s="28">
        <f t="shared" si="0"/>
        <v>0.82899999999999996</v>
      </c>
      <c r="I11" s="36">
        <f>B11/F12</f>
        <v>6.916666666666667</v>
      </c>
    </row>
    <row r="12" spans="1:10" ht="20.25" customHeight="1" x14ac:dyDescent="0.25">
      <c r="A12" s="51" t="s">
        <v>31</v>
      </c>
      <c r="B12" s="28">
        <f>C12/E12</f>
        <v>71.625</v>
      </c>
      <c r="C12" s="52">
        <f>SUM(C6:C11)</f>
        <v>573</v>
      </c>
      <c r="D12" s="53">
        <v>1</v>
      </c>
      <c r="E12" s="52">
        <f>E11+E10+E9+E8+E7+E6</f>
        <v>8</v>
      </c>
      <c r="F12" s="52">
        <f>F11+F10+F9+F8+F7+F6</f>
        <v>6</v>
      </c>
      <c r="G12" s="51">
        <v>1</v>
      </c>
      <c r="H12" s="28">
        <f t="shared" si="0"/>
        <v>2</v>
      </c>
      <c r="I12" s="36">
        <f>B12/F12</f>
        <v>11.9375</v>
      </c>
    </row>
    <row r="14" spans="1:10" ht="15.75" x14ac:dyDescent="0.25">
      <c r="B14" s="22" t="s">
        <v>73</v>
      </c>
      <c r="C14" s="22"/>
      <c r="D14" s="22"/>
      <c r="E14" s="22"/>
      <c r="F14" s="22"/>
    </row>
    <row r="15" spans="1:10" ht="15.75" x14ac:dyDescent="0.25">
      <c r="B15" s="22"/>
      <c r="C15" s="22"/>
      <c r="D15" s="22"/>
      <c r="E15" s="22"/>
      <c r="F15" s="22"/>
    </row>
    <row r="16" spans="1:10" ht="15.75" customHeight="1" x14ac:dyDescent="0.25">
      <c r="A16" s="184" t="s">
        <v>70</v>
      </c>
      <c r="B16" s="183"/>
      <c r="C16" s="184" t="s">
        <v>68</v>
      </c>
      <c r="D16" s="183"/>
      <c r="E16" s="184" t="s">
        <v>71</v>
      </c>
      <c r="F16" s="184"/>
      <c r="G16" s="22" t="s">
        <v>74</v>
      </c>
    </row>
    <row r="17" spans="1:6" ht="15.75" x14ac:dyDescent="0.25">
      <c r="B17" s="22"/>
      <c r="C17" s="22"/>
      <c r="D17" s="22"/>
      <c r="E17" s="22"/>
      <c r="F17" s="22"/>
    </row>
    <row r="18" spans="1:6" ht="15.75" x14ac:dyDescent="0.25">
      <c r="A18" s="46"/>
      <c r="B18" s="22"/>
      <c r="C18" s="22" t="s">
        <v>83</v>
      </c>
      <c r="D18" s="22"/>
      <c r="E18" s="22" t="s">
        <v>84</v>
      </c>
      <c r="F18" s="22"/>
    </row>
    <row r="19" spans="1:6" ht="15.75" x14ac:dyDescent="0.25">
      <c r="B19" s="22"/>
      <c r="C19" s="22" t="s">
        <v>85</v>
      </c>
      <c r="D19" s="22"/>
      <c r="E19" s="22" t="s">
        <v>86</v>
      </c>
      <c r="F19" s="22"/>
    </row>
    <row r="20" spans="1:6" ht="15.75" x14ac:dyDescent="0.25">
      <c r="B20" s="22"/>
      <c r="C20" s="22"/>
      <c r="D20" s="22"/>
      <c r="E20" s="22"/>
      <c r="F20" s="22"/>
    </row>
    <row r="21" spans="1:6" ht="15.75" x14ac:dyDescent="0.25">
      <c r="B21" s="22"/>
      <c r="C21" s="22"/>
      <c r="D21" s="22"/>
      <c r="E21" s="22"/>
      <c r="F21" s="22"/>
    </row>
    <row r="22" spans="1:6" ht="15.75" x14ac:dyDescent="0.25">
      <c r="B22" s="22"/>
      <c r="C22" s="22"/>
      <c r="D22" s="22"/>
      <c r="E22" s="22"/>
      <c r="F22" s="22"/>
    </row>
  </sheetData>
  <mergeCells count="11">
    <mergeCell ref="A16:B16"/>
    <mergeCell ref="C16:D16"/>
    <mergeCell ref="E16:F16"/>
    <mergeCell ref="A1:H1"/>
    <mergeCell ref="A3:A4"/>
    <mergeCell ref="B3:B4"/>
    <mergeCell ref="C3:C4"/>
    <mergeCell ref="D3:D4"/>
    <mergeCell ref="E3:E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firstPageNumber="93" orientation="landscape" useFirstPageNumber="1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Normal="100" workbookViewId="0">
      <selection activeCell="G4" sqref="G4"/>
    </sheetView>
  </sheetViews>
  <sheetFormatPr defaultRowHeight="12.75" x14ac:dyDescent="0.2"/>
  <cols>
    <col min="1" max="1" width="19.28515625" style="36" customWidth="1"/>
    <col min="2" max="2" width="17.85546875" style="36" customWidth="1"/>
    <col min="3" max="3" width="16.85546875" style="36" customWidth="1"/>
    <col min="4" max="4" width="15.7109375" style="36" customWidth="1"/>
    <col min="5" max="5" width="14.7109375" style="36" customWidth="1"/>
    <col min="6" max="16384" width="9.140625" style="36"/>
  </cols>
  <sheetData>
    <row r="1" spans="1:5" ht="15.75" x14ac:dyDescent="0.25">
      <c r="A1" s="163" t="s">
        <v>112</v>
      </c>
      <c r="B1" s="163"/>
      <c r="C1" s="163"/>
      <c r="D1" s="163"/>
      <c r="E1" s="163"/>
    </row>
    <row r="2" spans="1:5" ht="15.75" x14ac:dyDescent="0.25">
      <c r="A2" s="22" t="s">
        <v>102</v>
      </c>
      <c r="B2" s="22"/>
      <c r="C2" s="22"/>
      <c r="D2" s="22"/>
      <c r="E2" s="22"/>
    </row>
    <row r="3" spans="1:5" x14ac:dyDescent="0.2">
      <c r="A3" s="180" t="s">
        <v>25</v>
      </c>
      <c r="B3" s="185" t="s">
        <v>176</v>
      </c>
      <c r="C3" s="187" t="s">
        <v>177</v>
      </c>
      <c r="D3" s="185" t="s">
        <v>40</v>
      </c>
      <c r="E3" s="185" t="s">
        <v>87</v>
      </c>
    </row>
    <row r="4" spans="1:5" ht="54.75" customHeight="1" x14ac:dyDescent="0.2">
      <c r="A4" s="180"/>
      <c r="B4" s="186"/>
      <c r="C4" s="187"/>
      <c r="D4" s="186"/>
      <c r="E4" s="186"/>
    </row>
    <row r="5" spans="1:5" ht="15.75" x14ac:dyDescent="0.25">
      <c r="A5" s="37">
        <v>1</v>
      </c>
      <c r="B5" s="54">
        <v>2</v>
      </c>
      <c r="C5" s="55">
        <v>3</v>
      </c>
      <c r="D5" s="38">
        <v>4</v>
      </c>
      <c r="E5" s="38">
        <v>5</v>
      </c>
    </row>
    <row r="6" spans="1:5" ht="20.25" customHeight="1" x14ac:dyDescent="0.25">
      <c r="A6" s="27" t="s">
        <v>18</v>
      </c>
      <c r="B6" s="81">
        <v>6589</v>
      </c>
      <c r="C6" s="56"/>
      <c r="D6" s="28">
        <f>C6/B6</f>
        <v>0</v>
      </c>
      <c r="E6" s="28">
        <f>D6+1</f>
        <v>1</v>
      </c>
    </row>
    <row r="7" spans="1:5" ht="20.25" customHeight="1" x14ac:dyDescent="0.25">
      <c r="A7" s="27" t="s">
        <v>19</v>
      </c>
      <c r="B7" s="81">
        <v>369</v>
      </c>
      <c r="C7" s="56"/>
      <c r="D7" s="28">
        <f t="shared" ref="D7:D12" si="0">C7/B7</f>
        <v>0</v>
      </c>
      <c r="E7" s="28">
        <f t="shared" ref="E7:E12" si="1">D7+1</f>
        <v>1</v>
      </c>
    </row>
    <row r="8" spans="1:5" ht="20.25" customHeight="1" x14ac:dyDescent="0.25">
      <c r="A8" s="27" t="s">
        <v>20</v>
      </c>
      <c r="B8" s="81">
        <v>366</v>
      </c>
      <c r="C8" s="56"/>
      <c r="D8" s="28">
        <f t="shared" si="0"/>
        <v>0</v>
      </c>
      <c r="E8" s="28">
        <f t="shared" si="1"/>
        <v>1</v>
      </c>
    </row>
    <row r="9" spans="1:5" ht="20.25" customHeight="1" x14ac:dyDescent="0.25">
      <c r="A9" s="27" t="s">
        <v>21</v>
      </c>
      <c r="B9" s="81">
        <v>148</v>
      </c>
      <c r="C9" s="56"/>
      <c r="D9" s="28">
        <f t="shared" si="0"/>
        <v>0</v>
      </c>
      <c r="E9" s="28">
        <f t="shared" si="1"/>
        <v>1</v>
      </c>
    </row>
    <row r="10" spans="1:5" ht="20.25" customHeight="1" x14ac:dyDescent="0.25">
      <c r="A10" s="27" t="s">
        <v>22</v>
      </c>
      <c r="B10" s="81">
        <v>103</v>
      </c>
      <c r="C10" s="56"/>
      <c r="D10" s="28">
        <f t="shared" si="0"/>
        <v>0</v>
      </c>
      <c r="E10" s="28">
        <f t="shared" si="1"/>
        <v>1</v>
      </c>
    </row>
    <row r="11" spans="1:5" ht="20.25" customHeight="1" x14ac:dyDescent="0.25">
      <c r="A11" s="27" t="s">
        <v>23</v>
      </c>
      <c r="B11" s="81">
        <v>62</v>
      </c>
      <c r="C11" s="56"/>
      <c r="D11" s="28">
        <f t="shared" si="0"/>
        <v>0</v>
      </c>
      <c r="E11" s="28">
        <f t="shared" si="1"/>
        <v>1</v>
      </c>
    </row>
    <row r="12" spans="1:5" ht="16.5" thickBot="1" x14ac:dyDescent="0.3">
      <c r="A12" s="51" t="s">
        <v>31</v>
      </c>
      <c r="B12" s="90">
        <f>B6+B7+B8+B9+B10+B11</f>
        <v>7637</v>
      </c>
      <c r="C12" s="91">
        <f>SUM(C6:C11)</f>
        <v>0</v>
      </c>
      <c r="D12" s="77">
        <f t="shared" si="0"/>
        <v>0</v>
      </c>
      <c r="E12" s="77">
        <f t="shared" si="1"/>
        <v>1</v>
      </c>
    </row>
    <row r="13" spans="1:5" ht="13.5" thickTop="1" x14ac:dyDescent="0.2"/>
  </sheetData>
  <mergeCells count="6">
    <mergeCell ref="A1:E1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firstPageNumber="94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10</vt:i4>
      </vt:variant>
    </vt:vector>
  </HeadingPairs>
  <TitlesOfParts>
    <vt:vector size="23" baseType="lpstr">
      <vt:lpstr>86 индекс бюдж-ых расходов</vt:lpstr>
      <vt:lpstr>84 расчет дотации</vt:lpstr>
      <vt:lpstr>88 удельный вес расходов</vt:lpstr>
      <vt:lpstr>89  коэф. на удорож стои ЖКУ</vt:lpstr>
      <vt:lpstr>90 Коэф. дифферен-ии зар. пла</vt:lpstr>
      <vt:lpstr>91 коэф. на дисперстность</vt:lpstr>
      <vt:lpstr>92 сред взв коэ на диферен з.п</vt:lpstr>
      <vt:lpstr>93 коэф. транспортной доступ</vt:lpstr>
      <vt:lpstr>94 коэф урбанизации</vt:lpstr>
      <vt:lpstr>95 коэф. благоустройства</vt:lpstr>
      <vt:lpstr>96 структ жил фонда</vt:lpstr>
      <vt:lpstr>97 .коэф. концентр населения</vt:lpstr>
      <vt:lpstr>Лист1</vt:lpstr>
      <vt:lpstr>'84 расчет дотации'!Заголовки_для_печати</vt:lpstr>
      <vt:lpstr>'86 индекс бюдж-ых расходов'!Заголовки_для_печати</vt:lpstr>
      <vt:lpstr>'84 расчет дотации'!Область_печати</vt:lpstr>
      <vt:lpstr>'86 индекс бюдж-ых расходов'!Область_печати</vt:lpstr>
      <vt:lpstr>'88 удельный вес расходов'!Область_печати</vt:lpstr>
      <vt:lpstr>'89  коэф. на удорож стои ЖКУ'!Область_печати</vt:lpstr>
      <vt:lpstr>'92 сред взв коэ на диферен з.п'!Область_печати</vt:lpstr>
      <vt:lpstr>'93 коэф. транспортной доступ'!Область_печати</vt:lpstr>
      <vt:lpstr>'96 структ жил фонда'!Область_печати</vt:lpstr>
      <vt:lpstr>'97 .коэф. концентр населения'!Область_печати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Лидия В. Сутыгина</cp:lastModifiedBy>
  <cp:lastPrinted>2022-11-09T08:40:08Z</cp:lastPrinted>
  <dcterms:created xsi:type="dcterms:W3CDTF">1996-10-08T23:32:33Z</dcterms:created>
  <dcterms:modified xsi:type="dcterms:W3CDTF">2022-11-09T08:40:11Z</dcterms:modified>
</cp:coreProperties>
</file>