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\Videos\Desktop\бюджет 2023-2025годы\материалы к проекту бюджета\"/>
    </mc:Choice>
  </mc:AlternateContent>
  <bookViews>
    <workbookView xWindow="120" yWindow="300" windowWidth="9720" windowHeight="7140" firstSheet="3" activeTab="3"/>
  </bookViews>
  <sheets>
    <sheet name="114 распределение дотации" sheetId="23" r:id="rId1"/>
    <sheet name="116 индекс бюдж.расходов" sheetId="1" r:id="rId2"/>
    <sheet name="118 коэф. на удорож стои ЖКУ" sheetId="15" r:id="rId3"/>
    <sheet name="119 Коэф. дифферен-ии зар. пла" sheetId="2" r:id="rId4"/>
    <sheet name="120 коэф. на дисперстность" sheetId="14" r:id="rId5"/>
    <sheet name="121 сред взвешан коэ на диф з.п" sheetId="16" r:id="rId6"/>
    <sheet name="122.коэф. транспортной доступ" sheetId="18" r:id="rId7"/>
    <sheet name="123 коэф урбанизации" sheetId="20" r:id="rId8"/>
    <sheet name="124 коэф. благоустройства" sheetId="21" r:id="rId9"/>
    <sheet name="125 структ жил фонда" sheetId="17" r:id="rId10"/>
    <sheet name="126 коэф. концентр населения" sheetId="3" r:id="rId11"/>
    <sheet name="127 удельный вес расходов" sheetId="13" r:id="rId12"/>
  </sheets>
  <definedNames>
    <definedName name="_xlnm.Print_Area" localSheetId="0">'114 распределение дотации'!$A$1:$AC$15</definedName>
    <definedName name="_xlnm.Print_Area" localSheetId="2">'118 коэф. на удорож стои ЖКУ'!$A$1:$C$15</definedName>
    <definedName name="_xlnm.Print_Area" localSheetId="6">'122.коэф. транспортной доступ'!$A$1:$H$17</definedName>
    <definedName name="_xlnm.Print_Area" localSheetId="9">'125 структ жил фонда'!$A$1:$F$20</definedName>
    <definedName name="_xlnm.Print_Area" localSheetId="10">'126 коэф. концентр населения'!$A$1:$D$14</definedName>
    <definedName name="_xlnm.Print_Area" localSheetId="11">'127 удельный вес расходов'!$A$1:$O$11</definedName>
  </definedNames>
  <calcPr calcId="152511"/>
</workbook>
</file>

<file path=xl/calcChain.xml><?xml version="1.0" encoding="utf-8"?>
<calcChain xmlns="http://schemas.openxmlformats.org/spreadsheetml/2006/main">
  <c r="M14" i="23" l="1"/>
  <c r="H22" i="23"/>
  <c r="AB13" i="23"/>
  <c r="AB14" i="23" s="1"/>
  <c r="AB12" i="23"/>
  <c r="AB11" i="23"/>
  <c r="AB10" i="23"/>
  <c r="AB9" i="23"/>
  <c r="AB8" i="23"/>
  <c r="C13" i="23"/>
  <c r="C12" i="23"/>
  <c r="C11" i="23"/>
  <c r="C10" i="23"/>
  <c r="C9" i="23"/>
  <c r="C8" i="23"/>
  <c r="G9" i="23"/>
  <c r="H18" i="23"/>
  <c r="G21" i="23"/>
  <c r="F21" i="23"/>
  <c r="E21" i="23"/>
  <c r="D21" i="23"/>
  <c r="H21" i="23" s="1"/>
  <c r="C21" i="23"/>
  <c r="B21" i="23"/>
  <c r="O9" i="13" l="1"/>
  <c r="O8" i="13"/>
  <c r="O7" i="13"/>
  <c r="O6" i="13"/>
  <c r="O5" i="13"/>
  <c r="O4" i="13"/>
  <c r="O10" i="13" l="1"/>
  <c r="B12" i="18"/>
  <c r="B11" i="18"/>
  <c r="B10" i="18"/>
  <c r="B9" i="18"/>
  <c r="B8" i="18"/>
  <c r="B7" i="18"/>
  <c r="B6" i="18"/>
  <c r="D10" i="3"/>
  <c r="D9" i="3"/>
  <c r="D8" i="3"/>
  <c r="G13" i="23" l="1"/>
  <c r="G12" i="23"/>
  <c r="G11" i="23"/>
  <c r="G10" i="23"/>
  <c r="G8" i="23"/>
  <c r="G14" i="23" s="1"/>
  <c r="H20" i="23"/>
  <c r="H19" i="23"/>
  <c r="AA14" i="23" l="1"/>
  <c r="R14" i="23"/>
  <c r="B14" i="23"/>
  <c r="H13" i="23"/>
  <c r="H12" i="23"/>
  <c r="H11" i="23"/>
  <c r="H9" i="23"/>
  <c r="H8" i="23"/>
  <c r="H10" i="23" l="1"/>
  <c r="C14" i="23"/>
  <c r="E14" i="23" s="1"/>
  <c r="F12" i="23" l="1"/>
  <c r="F9" i="23"/>
  <c r="F13" i="23"/>
  <c r="F10" i="23"/>
  <c r="F11" i="23"/>
  <c r="F8" i="23"/>
  <c r="H14" i="23"/>
  <c r="I9" i="23" l="1"/>
  <c r="I8" i="23"/>
  <c r="I11" i="23"/>
  <c r="I12" i="23"/>
  <c r="I13" i="23"/>
  <c r="I10" i="23"/>
  <c r="F14" i="23"/>
  <c r="C43" i="13" l="1"/>
  <c r="D43" i="13"/>
  <c r="E43" i="13"/>
  <c r="F43" i="13"/>
  <c r="G43" i="13"/>
  <c r="H43" i="13"/>
  <c r="B22" i="13"/>
  <c r="B18" i="13"/>
  <c r="C20" i="13"/>
  <c r="D20" i="13"/>
  <c r="E20" i="13"/>
  <c r="F20" i="13"/>
  <c r="G20" i="13"/>
  <c r="H20" i="13"/>
  <c r="C24" i="13"/>
  <c r="D24" i="13"/>
  <c r="E24" i="13"/>
  <c r="F24" i="13"/>
  <c r="G24" i="13"/>
  <c r="H24" i="13"/>
  <c r="C26" i="13"/>
  <c r="D26" i="13"/>
  <c r="E26" i="13"/>
  <c r="F26" i="13"/>
  <c r="G26" i="13"/>
  <c r="H26" i="13"/>
  <c r="C30" i="13"/>
  <c r="D30" i="13"/>
  <c r="E30" i="13"/>
  <c r="F30" i="13"/>
  <c r="G30" i="13"/>
  <c r="H30" i="13"/>
  <c r="C32" i="13"/>
  <c r="D32" i="13"/>
  <c r="E32" i="13"/>
  <c r="F32" i="13"/>
  <c r="G32" i="13"/>
  <c r="H32" i="13"/>
  <c r="G44" i="13" l="1"/>
  <c r="H44" i="13"/>
  <c r="C44" i="13"/>
  <c r="D44" i="13"/>
  <c r="E44" i="13"/>
  <c r="F44" i="13"/>
  <c r="H6" i="18" l="1"/>
  <c r="G7" i="18"/>
  <c r="G6" i="18"/>
  <c r="D7" i="18"/>
  <c r="D6" i="18"/>
  <c r="B42" i="13" l="1"/>
  <c r="B41" i="13"/>
  <c r="B40" i="13"/>
  <c r="B39" i="13"/>
  <c r="B38" i="13"/>
  <c r="B37" i="13"/>
  <c r="B36" i="13"/>
  <c r="B35" i="13"/>
  <c r="B34" i="13"/>
  <c r="B33" i="13"/>
  <c r="B31" i="13"/>
  <c r="B32" i="13" s="1"/>
  <c r="B29" i="13"/>
  <c r="B28" i="13"/>
  <c r="B27" i="13"/>
  <c r="B25" i="13"/>
  <c r="B23" i="13"/>
  <c r="B21" i="13"/>
  <c r="B19" i="13"/>
  <c r="B17" i="13"/>
  <c r="B16" i="13"/>
  <c r="B15" i="13"/>
  <c r="B24" i="13" l="1"/>
  <c r="B30" i="13"/>
  <c r="B20" i="13"/>
  <c r="B26" i="13"/>
  <c r="B43" i="13"/>
  <c r="B44" i="13" l="1"/>
  <c r="B12" i="20" l="1"/>
  <c r="D11" i="14"/>
  <c r="D10" i="14"/>
  <c r="S13" i="1" l="1"/>
  <c r="M13" i="1" l="1"/>
  <c r="H13" i="1"/>
  <c r="C13" i="1"/>
  <c r="P13" i="1"/>
  <c r="F11" i="21"/>
  <c r="G10" i="21" s="1"/>
  <c r="D11" i="21"/>
  <c r="E9" i="21" s="1"/>
  <c r="B11" i="21"/>
  <c r="C10" i="21" s="1"/>
  <c r="C12" i="20"/>
  <c r="D11" i="20"/>
  <c r="E11" i="20" s="1"/>
  <c r="J12" i="1" s="1"/>
  <c r="D10" i="20"/>
  <c r="E10" i="20" s="1"/>
  <c r="J11" i="1" s="1"/>
  <c r="D9" i="20"/>
  <c r="E9" i="20" s="1"/>
  <c r="J10" i="1" s="1"/>
  <c r="D8" i="20"/>
  <c r="E8" i="20" s="1"/>
  <c r="W9" i="1" s="1"/>
  <c r="D7" i="20"/>
  <c r="E7" i="20" s="1"/>
  <c r="J8" i="1" s="1"/>
  <c r="D6" i="20"/>
  <c r="E6" i="20" s="1"/>
  <c r="W7" i="1" s="1"/>
  <c r="F12" i="18"/>
  <c r="E10" i="21" l="1"/>
  <c r="E6" i="21"/>
  <c r="E8" i="21"/>
  <c r="E5" i="21"/>
  <c r="E7" i="21"/>
  <c r="G5" i="21"/>
  <c r="G6" i="21"/>
  <c r="G7" i="21"/>
  <c r="G8" i="21"/>
  <c r="G9" i="21"/>
  <c r="H10" i="21"/>
  <c r="P12" i="1" s="1"/>
  <c r="C5" i="21"/>
  <c r="C7" i="21"/>
  <c r="C9" i="21"/>
  <c r="H9" i="21" s="1"/>
  <c r="P11" i="1" s="1"/>
  <c r="C6" i="21"/>
  <c r="C8" i="21"/>
  <c r="W12" i="1"/>
  <c r="W11" i="1"/>
  <c r="W10" i="1"/>
  <c r="J9" i="1"/>
  <c r="W8" i="1"/>
  <c r="J7" i="1"/>
  <c r="D12" i="20"/>
  <c r="E12" i="20" s="1"/>
  <c r="I11" i="18"/>
  <c r="I10" i="18"/>
  <c r="I9" i="18"/>
  <c r="I8" i="18"/>
  <c r="I7" i="18"/>
  <c r="I6" i="18"/>
  <c r="J6" i="18" s="1"/>
  <c r="H12" i="18"/>
  <c r="E13" i="1" s="1"/>
  <c r="E12" i="18"/>
  <c r="C12" i="18"/>
  <c r="G10" i="18"/>
  <c r="G9" i="18"/>
  <c r="H6" i="21" l="1"/>
  <c r="P8" i="1" s="1"/>
  <c r="G11" i="18"/>
  <c r="G8" i="18"/>
  <c r="E7" i="1"/>
  <c r="H8" i="21"/>
  <c r="P10" i="1" s="1"/>
  <c r="H5" i="21"/>
  <c r="P7" i="1" s="1"/>
  <c r="H7" i="21"/>
  <c r="P9" i="1" s="1"/>
  <c r="J13" i="1"/>
  <c r="W13" i="1"/>
  <c r="C14" i="17"/>
  <c r="B14" i="17"/>
  <c r="D13" i="17"/>
  <c r="D12" i="17"/>
  <c r="D11" i="17"/>
  <c r="D10" i="17"/>
  <c r="D9" i="17"/>
  <c r="D8" i="17"/>
  <c r="E13" i="16"/>
  <c r="B13" i="16"/>
  <c r="F13" i="16" s="1"/>
  <c r="E12" i="16"/>
  <c r="E11" i="16"/>
  <c r="E10" i="16"/>
  <c r="E9" i="16"/>
  <c r="E8" i="16"/>
  <c r="E7" i="16"/>
  <c r="C11" i="15"/>
  <c r="C10" i="15"/>
  <c r="C9" i="15"/>
  <c r="C8" i="15"/>
  <c r="C7" i="15"/>
  <c r="C6" i="15"/>
  <c r="C12" i="14"/>
  <c r="B12" i="14"/>
  <c r="E11" i="14"/>
  <c r="G12" i="2" s="1"/>
  <c r="E10" i="14"/>
  <c r="G11" i="2" s="1"/>
  <c r="D9" i="14"/>
  <c r="E9" i="14" s="1"/>
  <c r="G10" i="2" s="1"/>
  <c r="D8" i="14"/>
  <c r="E8" i="14" s="1"/>
  <c r="G9" i="2" s="1"/>
  <c r="D7" i="14"/>
  <c r="E7" i="14" s="1"/>
  <c r="G8" i="2" s="1"/>
  <c r="D6" i="14"/>
  <c r="E6" i="14" s="1"/>
  <c r="G7" i="2" s="1"/>
  <c r="D11" i="18" l="1"/>
  <c r="H11" i="18" s="1"/>
  <c r="E12" i="1" s="1"/>
  <c r="D10" i="18"/>
  <c r="H10" i="18" s="1"/>
  <c r="E11" i="1" s="1"/>
  <c r="D9" i="18"/>
  <c r="H9" i="18" s="1"/>
  <c r="E10" i="1" s="1"/>
  <c r="I12" i="18"/>
  <c r="H7" i="18"/>
  <c r="E8" i="1" s="1"/>
  <c r="D8" i="18"/>
  <c r="H8" i="18" s="1"/>
  <c r="E9" i="1" s="1"/>
  <c r="E14" i="17"/>
  <c r="F11" i="17" s="1"/>
  <c r="S10" i="1" s="1"/>
  <c r="D14" i="17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/>
  <c r="D12" i="14"/>
  <c r="E12" i="14" s="1"/>
  <c r="G13" i="2" s="1"/>
  <c r="M11" i="1"/>
  <c r="H11" i="1"/>
  <c r="C11" i="1"/>
  <c r="H10" i="1"/>
  <c r="M10" i="1"/>
  <c r="C10" i="1"/>
  <c r="M9" i="1"/>
  <c r="H9" i="1"/>
  <c r="C9" i="1"/>
  <c r="C8" i="1"/>
  <c r="H8" i="1"/>
  <c r="M8" i="1"/>
  <c r="M7" i="1"/>
  <c r="H7" i="1"/>
  <c r="C7" i="1"/>
  <c r="M12" i="1"/>
  <c r="C12" i="1"/>
  <c r="H12" i="1"/>
  <c r="F9" i="17" l="1"/>
  <c r="S8" i="1" s="1"/>
  <c r="F12" i="17"/>
  <c r="S11" i="1" s="1"/>
  <c r="F13" i="17"/>
  <c r="S12" i="1" s="1"/>
  <c r="F10" i="17"/>
  <c r="S9" i="1" s="1"/>
  <c r="F8" i="17"/>
  <c r="S7" i="1" s="1"/>
  <c r="G13" i="16"/>
  <c r="D13" i="3" l="1"/>
  <c r="R7" i="1" l="1"/>
  <c r="U12" i="1"/>
  <c r="U11" i="1"/>
  <c r="R10" i="1"/>
  <c r="R9" i="1"/>
  <c r="U8" i="1"/>
  <c r="R13" i="1" l="1"/>
  <c r="L7" i="1"/>
  <c r="G7" i="1"/>
  <c r="O7" i="1"/>
  <c r="U7" i="1"/>
  <c r="B7" i="1"/>
  <c r="B8" i="1"/>
  <c r="L8" i="1"/>
  <c r="R8" i="1"/>
  <c r="G9" i="1"/>
  <c r="O9" i="1"/>
  <c r="U9" i="1"/>
  <c r="G10" i="1"/>
  <c r="O10" i="1"/>
  <c r="U10" i="1"/>
  <c r="B11" i="1"/>
  <c r="L11" i="1"/>
  <c r="N11" i="1" s="1"/>
  <c r="R11" i="1"/>
  <c r="T11" i="1" s="1"/>
  <c r="B12" i="1"/>
  <c r="L12" i="1"/>
  <c r="N12" i="1" s="1"/>
  <c r="R12" i="1"/>
  <c r="T12" i="1" s="1"/>
  <c r="G8" i="1"/>
  <c r="O8" i="1"/>
  <c r="B9" i="1"/>
  <c r="L9" i="1"/>
  <c r="B10" i="1"/>
  <c r="L10" i="1"/>
  <c r="G11" i="1"/>
  <c r="O11" i="1"/>
  <c r="G12" i="1"/>
  <c r="O12" i="1"/>
  <c r="U13" i="1" l="1"/>
  <c r="L13" i="1"/>
  <c r="O13" i="1"/>
  <c r="G13" i="1"/>
  <c r="B13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V9" i="1"/>
  <c r="V8" i="1"/>
  <c r="Q7" i="1" l="1"/>
  <c r="D14" i="3"/>
  <c r="V13" i="1" s="1"/>
  <c r="X9" i="1"/>
  <c r="X11" i="1"/>
  <c r="X8" i="1"/>
  <c r="X12" i="1"/>
  <c r="X7" i="1"/>
  <c r="X10" i="1"/>
  <c r="B13" i="2"/>
  <c r="C11" i="2" s="1"/>
  <c r="F12" i="2"/>
  <c r="H12" i="2" s="1"/>
  <c r="I12" i="1" s="1"/>
  <c r="F11" i="2"/>
  <c r="H11" i="2" s="1"/>
  <c r="D11" i="1" s="1"/>
  <c r="F8" i="2"/>
  <c r="H8" i="2" s="1"/>
  <c r="I8" i="1" s="1"/>
  <c r="F7" i="2"/>
  <c r="H7" i="2" s="1"/>
  <c r="D7" i="1" s="1"/>
  <c r="D12" i="1" l="1"/>
  <c r="I11" i="1"/>
  <c r="I7" i="1"/>
  <c r="D8" i="1"/>
  <c r="Q12" i="1"/>
  <c r="I13" i="1"/>
  <c r="D13" i="1"/>
  <c r="Q10" i="1"/>
  <c r="Q11" i="1"/>
  <c r="Q8" i="1"/>
  <c r="Q9" i="1"/>
  <c r="X13" i="1"/>
  <c r="Y13" i="1" s="1"/>
  <c r="J14" i="23" s="1"/>
  <c r="K14" i="23" s="1"/>
  <c r="V14" i="23" s="1"/>
  <c r="F9" i="2"/>
  <c r="H9" i="2" s="1"/>
  <c r="F10" i="2"/>
  <c r="H10" i="2" s="1"/>
  <c r="C8" i="2"/>
  <c r="C10" i="2"/>
  <c r="C12" i="2"/>
  <c r="C7" i="2"/>
  <c r="C9" i="2"/>
  <c r="I9" i="1" l="1"/>
  <c r="D9" i="1"/>
  <c r="D10" i="1"/>
  <c r="I10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8" i="1" l="1"/>
  <c r="J9" i="23" s="1"/>
  <c r="K9" i="23" s="1"/>
  <c r="Y9" i="1"/>
  <c r="J10" i="23" s="1"/>
  <c r="K10" i="23" s="1"/>
  <c r="Y7" i="1"/>
  <c r="J8" i="23" s="1"/>
  <c r="K8" i="23" s="1"/>
  <c r="Y12" i="1"/>
  <c r="J13" i="23" s="1"/>
  <c r="K13" i="23" s="1"/>
  <c r="Y10" i="1"/>
  <c r="J11" i="23" s="1"/>
  <c r="K11" i="23" s="1"/>
  <c r="Y11" i="1"/>
  <c r="J12" i="23" s="1"/>
  <c r="K12" i="23" s="1"/>
  <c r="O13" i="23" l="1"/>
  <c r="P13" i="23" s="1"/>
  <c r="S13" i="23"/>
  <c r="V13" i="23"/>
  <c r="V8" i="23"/>
  <c r="O8" i="23"/>
  <c r="P8" i="23" s="1"/>
  <c r="S8" i="23"/>
  <c r="O10" i="23"/>
  <c r="P10" i="23" s="1"/>
  <c r="S10" i="23"/>
  <c r="V10" i="23"/>
  <c r="O12" i="23"/>
  <c r="P12" i="23" s="1"/>
  <c r="S12" i="23"/>
  <c r="V12" i="23"/>
  <c r="S11" i="23"/>
  <c r="V11" i="23"/>
  <c r="O11" i="23"/>
  <c r="P11" i="23" s="1"/>
  <c r="O9" i="23"/>
  <c r="P9" i="23" s="1"/>
  <c r="S9" i="23"/>
  <c r="V9" i="23"/>
  <c r="S14" i="23" l="1"/>
  <c r="T11" i="23" s="1"/>
  <c r="P14" i="23"/>
  <c r="T13" i="23" l="1"/>
  <c r="T10" i="23"/>
  <c r="Q10" i="23"/>
  <c r="Q9" i="23"/>
  <c r="Q13" i="23"/>
  <c r="S21" i="23" s="1"/>
  <c r="Q12" i="23"/>
  <c r="Q11" i="23"/>
  <c r="S19" i="23" s="1"/>
  <c r="Q8" i="23"/>
  <c r="T8" i="23"/>
  <c r="T12" i="23"/>
  <c r="T9" i="23"/>
  <c r="Q14" i="23" l="1"/>
  <c r="U13" i="23"/>
  <c r="U11" i="23"/>
  <c r="S16" i="23"/>
  <c r="S22" i="23" s="1"/>
  <c r="U8" i="23"/>
  <c r="S17" i="23"/>
  <c r="U9" i="23"/>
  <c r="S20" i="23"/>
  <c r="U12" i="23"/>
  <c r="S18" i="23"/>
  <c r="U10" i="23"/>
  <c r="T14" i="23"/>
  <c r="AC12" i="23" l="1"/>
  <c r="X12" i="23"/>
  <c r="Y12" i="23"/>
  <c r="AC8" i="23"/>
  <c r="X8" i="23"/>
  <c r="U14" i="23"/>
  <c r="X14" i="23" s="1"/>
  <c r="Y8" i="23"/>
  <c r="Y9" i="23"/>
  <c r="AC9" i="23"/>
  <c r="X9" i="23"/>
  <c r="AC10" i="23"/>
  <c r="X10" i="23"/>
  <c r="Y10" i="23"/>
  <c r="X11" i="23"/>
  <c r="AC11" i="23"/>
  <c r="Y11" i="23"/>
  <c r="AC13" i="23"/>
  <c r="X13" i="23"/>
  <c r="Y13" i="23"/>
  <c r="AC14" i="23" l="1"/>
</calcChain>
</file>

<file path=xl/sharedStrings.xml><?xml version="1.0" encoding="utf-8"?>
<sst xmlns="http://schemas.openxmlformats.org/spreadsheetml/2006/main" count="312" uniqueCount="200">
  <si>
    <t>РАСЧЕТ</t>
  </si>
  <si>
    <t>наименование
поселения</t>
  </si>
  <si>
    <t>по формированию, утверждению, исполнению 
бюджета поселения и контролю за исполнением
данного бюджета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</si>
  <si>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</si>
  <si>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</si>
  <si>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</si>
  <si>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</si>
  <si>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по созданию условий для организации досуга</t>
  </si>
  <si>
    <t>коэф-нт
урбанизации</t>
  </si>
  <si>
    <t>по организации в границах
поселений электро-,
тепло-, газо-,водоснабжения, 
водоотведения, снабжения
населения топливом</t>
  </si>
  <si>
    <t>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</si>
  <si>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коэф-нт
благоустройства</t>
  </si>
  <si>
    <t>по содержанию
муниципального
жилищного фонда</t>
  </si>
  <si>
    <t>коэф-нт
структуры
жилого фонда</t>
  </si>
  <si>
    <t>по иным вопросам местного
значения поселений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</si>
  <si>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</si>
  <si>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</si>
  <si>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</si>
  <si>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</si>
  <si>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</si>
  <si>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</si>
  <si>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</si>
  <si>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</si>
  <si>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</si>
  <si>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Расчет</t>
  </si>
  <si>
    <t>Наименование муниципальных образований</t>
  </si>
  <si>
    <t>Удельный вес  населения  в общей численности населения (гр.2/гр.2итог)</t>
  </si>
  <si>
    <t>коэффициента концентрации населения</t>
  </si>
  <si>
    <t>ВСЕГО по МР</t>
  </si>
  <si>
    <t>Площадь жилого фонда, находящегося в муниципальной собственности, в расчете на 1 жителя (гр 3/гр2)</t>
  </si>
  <si>
    <t>Отношение площади жилого фонда к численности поселения в среднем по району (ит гр 3/ит гр2)</t>
  </si>
  <si>
    <t>по МР</t>
  </si>
  <si>
    <t>Средневзвешенный коэффициент по заработной плате</t>
  </si>
  <si>
    <t>Наименование районов и городов</t>
  </si>
  <si>
    <t>Районный коэффициент
Северная надбавка</t>
  </si>
  <si>
    <t xml:space="preserve">25-% Надбавка к з/п за работу в сельской местности (гр.4*0,25/гр.3) </t>
  </si>
  <si>
    <t>Итого районный коэффициент + северная надбавка + 25% надбавка за работу в сельской местности</t>
  </si>
  <si>
    <t>Удельный вес в МО (гр.3/ сумм.гр.3)</t>
  </si>
  <si>
    <t>Всего:</t>
  </si>
  <si>
    <t>Ставка с учетом всех видов надбавок и коэффициентов (гр.4+гр.5)</t>
  </si>
  <si>
    <t>удельный вес городского населения (гр.3/гр.2)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</si>
  <si>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</si>
  <si>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</si>
  <si>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удельный вес</t>
  </si>
  <si>
    <t>МО  "Александровское сельское поселение"</t>
  </si>
  <si>
    <t>МО "Новоникольское сельское поселение"</t>
  </si>
  <si>
    <t xml:space="preserve"> МО  "Октябрьское сельское поселение"</t>
  </si>
  <si>
    <t>Всего</t>
  </si>
  <si>
    <t>МО  "Северное сельское поселение"</t>
  </si>
  <si>
    <t>МО  "Лукашкин-Ярское сельское поселение"</t>
  </si>
  <si>
    <t>МО    "Назинское сельское поселение"</t>
  </si>
  <si>
    <t>0503</t>
  </si>
  <si>
    <t>корректирующий
коэф-нт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</si>
  <si>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</si>
  <si>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</si>
  <si>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</si>
  <si>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</si>
  <si>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</si>
  <si>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</si>
  <si>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0102</t>
  </si>
  <si>
    <t>0103</t>
  </si>
  <si>
    <t>0104</t>
  </si>
  <si>
    <t>0106</t>
  </si>
  <si>
    <t>ВСЕГО 1.</t>
  </si>
  <si>
    <t>1101</t>
  </si>
  <si>
    <t xml:space="preserve"> Всего 2.</t>
  </si>
  <si>
    <t>0502</t>
  </si>
  <si>
    <t>Всего 3.</t>
  </si>
  <si>
    <t>ВСЕГО 4.</t>
  </si>
  <si>
    <t>0501</t>
  </si>
  <si>
    <t>ВСЕГО 5.</t>
  </si>
  <si>
    <t>0111</t>
  </si>
  <si>
    <t>0113</t>
  </si>
  <si>
    <t>0405</t>
  </si>
  <si>
    <t>0412</t>
  </si>
  <si>
    <t>1003</t>
  </si>
  <si>
    <t>1200</t>
  </si>
  <si>
    <t>ВСЕГО 6.</t>
  </si>
  <si>
    <t>0310</t>
  </si>
  <si>
    <t>Кзпj = (Крj +  Ксевнj + Кснj) * Кдисj)/ Кдифзп</t>
  </si>
  <si>
    <t>1.2.4.</t>
  </si>
  <si>
    <t>1.2.3.</t>
  </si>
  <si>
    <r>
      <t xml:space="preserve">Коэффициент удорожания стоимости жилищно-коммунальных услуг (гр, 2/ср. по району гр. 2,  </t>
    </r>
    <r>
      <rPr>
        <b/>
        <sz val="14"/>
        <rFont val="Times New Roman"/>
        <family val="1"/>
        <charset val="204"/>
      </rPr>
      <t xml:space="preserve"> Кжкуj</t>
    </r>
  </si>
  <si>
    <r>
      <t xml:space="preserve">Поправочный коэффициент на дисперсность расселения населения  (1+гр.4), </t>
    </r>
    <r>
      <rPr>
        <b/>
        <sz val="12"/>
        <rFont val="Times New Roman"/>
        <family val="1"/>
        <charset val="204"/>
      </rPr>
      <t>Кдисj</t>
    </r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</si>
  <si>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</si>
  <si>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</si>
  <si>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транспортной доступности (гр4+гр6), </t>
    </r>
    <r>
      <rPr>
        <b/>
        <sz val="12"/>
        <rFont val="Times New Roman"/>
        <family val="1"/>
        <charset val="204"/>
      </rPr>
      <t>Ктдj</t>
    </r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</si>
  <si>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</si>
  <si>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</si>
  <si>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</si>
  <si>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</si>
  <si>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</si>
  <si>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</si>
  <si>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</si>
  <si>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</si>
  <si>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</si>
  <si>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</si>
  <si>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</si>
  <si>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r>
      <t xml:space="preserve">средневзвешанное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</si>
  <si>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</si>
  <si>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</si>
  <si>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</si>
  <si>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</si>
  <si>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</si>
  <si>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</si>
  <si>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</si>
  <si>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</si>
  <si>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</si>
  <si>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</si>
  <si>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>коэф-нт 
благоустройства, гр3*гр5*гр7,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</si>
  <si>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коэф-нт
площади
улично-
дорожной
сети, 1+(гр2/итгр2), </t>
    </r>
    <r>
      <rPr>
        <b/>
        <sz val="12"/>
        <rFont val="Times New Roman"/>
        <family val="1"/>
        <charset val="204"/>
      </rPr>
      <t>Кудсj</t>
    </r>
  </si>
  <si>
    <r>
      <t xml:space="preserve">коф-нт 
протяженности
освещенных
частей
улиц, 1+(гр4/итгр4), </t>
    </r>
    <r>
      <rPr>
        <b/>
        <sz val="12"/>
        <rFont val="Times New Roman"/>
        <family val="1"/>
        <charset val="204"/>
      </rPr>
      <t>Кудсj</t>
    </r>
  </si>
  <si>
    <r>
      <t>коэф-нт
притяженности
дорог в
границах
населенных
пунктов, 1+(гр6/итгр6),</t>
    </r>
    <r>
      <rPr>
        <b/>
        <sz val="12"/>
        <rFont val="Times New Roman"/>
        <family val="1"/>
        <charset val="204"/>
      </rPr>
      <t xml:space="preserve"> Кдорj</t>
    </r>
  </si>
  <si>
    <t>1.2.7.</t>
  </si>
  <si>
    <t>1.2.8.</t>
  </si>
  <si>
    <r>
      <t xml:space="preserve">Коэффициент на структуру жилого фонда(гр4/итгр5), </t>
    </r>
    <r>
      <rPr>
        <b/>
        <sz val="12"/>
        <rFont val="Times New Roman"/>
        <family val="1"/>
        <charset val="204"/>
      </rPr>
      <t>Кжфj</t>
    </r>
  </si>
  <si>
    <t>ПЛмжф - площадь жилого фонда на начало текущего финансового года, находящегося в муниципальной собственности в районе</t>
  </si>
  <si>
    <r>
      <t>коэффициент
концентрации
населения в
административном
центре поселения, 1+(гр2-гр3)/гр2,</t>
    </r>
    <r>
      <rPr>
        <b/>
        <sz val="12"/>
        <rFont val="Times New Roman"/>
        <family val="1"/>
        <charset val="204"/>
      </rPr>
      <t xml:space="preserve"> ККНСj</t>
    </r>
  </si>
  <si>
    <t>1.2.9.</t>
  </si>
  <si>
    <r>
      <t>Районный коэффициент</t>
    </r>
    <r>
      <rPr>
        <b/>
        <sz val="14"/>
        <rFont val="Times New Roman"/>
        <family val="1"/>
        <charset val="204"/>
      </rPr>
      <t xml:space="preserve"> (Крj)</t>
    </r>
    <r>
      <rPr>
        <sz val="14"/>
        <rFont val="Times New Roman"/>
        <family val="1"/>
        <charset val="204"/>
      </rPr>
      <t xml:space="preserve"> и северные надбавки к заработной плате </t>
    </r>
    <r>
      <rPr>
        <b/>
        <sz val="14"/>
        <rFont val="Times New Roman"/>
        <family val="1"/>
        <charset val="204"/>
      </rPr>
      <t>(Ксевнj</t>
    </r>
  </si>
  <si>
    <r>
      <t xml:space="preserve">25% - надбавка за работу в сельской местности , </t>
    </r>
    <r>
      <rPr>
        <b/>
        <sz val="14"/>
        <rFont val="Times New Roman"/>
        <family val="1"/>
        <charset val="204"/>
      </rPr>
      <t>Кснj</t>
    </r>
  </si>
  <si>
    <r>
      <t>Поправочный коэффициент на дисперсность расселения,</t>
    </r>
    <r>
      <rPr>
        <b/>
        <sz val="14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</si>
  <si>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4"/>
        <rFont val="Times New Roman"/>
        <family val="1"/>
        <charset val="204"/>
      </rPr>
      <t>Кзп</t>
    </r>
    <r>
      <rPr>
        <sz val="14"/>
        <rFont val="Times New Roman"/>
        <family val="1"/>
        <charset val="204"/>
      </rPr>
      <t xml:space="preserve">j (гр.6*гр.7)/2,450    2,450 -средневзвешенный коэффициент по заработной плате </t>
    </r>
    <r>
      <rPr>
        <b/>
        <sz val="14"/>
        <rFont val="Times New Roman"/>
        <family val="1"/>
        <charset val="204"/>
      </rPr>
      <t>(Кдифзп)</t>
    </r>
  </si>
  <si>
    <t>1.2.6.</t>
  </si>
  <si>
    <t xml:space="preserve">акцизы </t>
  </si>
  <si>
    <t>0309</t>
  </si>
  <si>
    <t>0408</t>
  </si>
  <si>
    <t>0602</t>
  </si>
  <si>
    <t>Численность населения, проживающего в населенных пунктах с численностью до 500 человек (чел.)</t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</si>
  <si>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2"/>
        <rFont val="Times New Roman"/>
        <family val="1"/>
        <charset val="204"/>
      </rPr>
      <t>Uj</t>
    </r>
  </si>
  <si>
    <t>Сумма               (тыс. руб.)</t>
  </si>
  <si>
    <t>0409 за счет остатка на начало года</t>
  </si>
  <si>
    <t>Расходы бюджета</t>
  </si>
  <si>
    <r>
      <t xml:space="preserve">Прогноз средневзвешенного тарифа на тепловую энергию по бюджетным организациям на 2022 год (по данным Департамента тарифного регулирования), </t>
    </r>
    <r>
      <rPr>
        <b/>
        <sz val="14"/>
        <rFont val="Times New Roman"/>
        <family val="1"/>
        <charset val="204"/>
      </rPr>
      <t>tj</t>
    </r>
  </si>
  <si>
    <t>0107</t>
  </si>
  <si>
    <t>0804</t>
  </si>
  <si>
    <t>0801</t>
  </si>
  <si>
    <t xml:space="preserve">Расчет удельного веса расходов бюджетов поселений Александровского района в 2022год </t>
  </si>
  <si>
    <t>наименование
сельского 
поселения</t>
  </si>
  <si>
    <t>численность
населения 
на 01.01.2020г.
чел.</t>
  </si>
  <si>
    <t>численность
населения , скорректировнная на индекс бюдженых расходов
чел.</t>
  </si>
  <si>
    <t>1 часть 
РФФПП,
тыс. руб.</t>
  </si>
  <si>
    <t>1 часть 
РФФПП в 
расчете на 1
жителя, руб.
гр3/гр2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</si>
  <si>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</si>
  <si>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</si>
  <si>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</si>
  <si>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</si>
  <si>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</si>
  <si>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</si>
  <si>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2 часть
РФФПП,
тыс. руб.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</si>
  <si>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</si>
  <si>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</si>
  <si>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</si>
  <si>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</si>
  <si>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1 этап 2
части РФФПП,
тыс. руб.
гр15*гр12/итгр15</t>
  </si>
  <si>
    <t>объем 2
части РФФПП
на 2-ом
этапе,
тыс. руб.
гр11-гр16</t>
  </si>
  <si>
    <t>численность населения*бюджетную обеспеченность
гр2*гр10</t>
  </si>
  <si>
    <t>2 этап
2 части
РФФПП,
тыс. руб.
гр17*гр18/итгр18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</si>
  <si>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</si>
  <si>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</si>
  <si>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</si>
  <si>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</si>
  <si>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бюджетная обеспеченность
после выравнивания
гр23/итгр23*гр9</t>
  </si>
  <si>
    <t>ранжирование
после
выравнивания</t>
  </si>
  <si>
    <t>Базовые расходы</t>
  </si>
  <si>
    <t>собственные доходы</t>
  </si>
  <si>
    <t>Дотация на сбалансированность</t>
  </si>
  <si>
    <t xml:space="preserve">Распределения дотаций сельским поселениям Александровского района  на 2025 год </t>
  </si>
  <si>
    <t>индекса бюджетных расходов поселений на 2025год</t>
  </si>
  <si>
    <r>
      <t xml:space="preserve">Численность населения на 01.01.22             </t>
    </r>
    <r>
      <rPr>
        <b/>
        <sz val="14"/>
        <rFont val="Times New Roman"/>
        <family val="1"/>
        <charset val="204"/>
      </rPr>
      <t>( чел.), Чj/ Ч</t>
    </r>
  </si>
  <si>
    <t>Численность населения на 01.01.2022       (чел.)</t>
  </si>
  <si>
    <t>поправочного коэффициента на дисперсность расселения населения на 2025 год</t>
  </si>
  <si>
    <t>для расчета ИБР на 2025 год</t>
  </si>
  <si>
    <r>
      <t xml:space="preserve">Численность населения на 01.01.2022 г., </t>
    </r>
    <r>
      <rPr>
        <b/>
        <sz val="12"/>
        <rFont val="Times New Roman"/>
        <family val="1"/>
        <charset val="204"/>
      </rPr>
      <t xml:space="preserve">Чj </t>
    </r>
  </si>
  <si>
    <t>Расчет коэффициента транспортной доступности на 2025 год</t>
  </si>
  <si>
    <t>Численность населения на 01.01.2022 ( чел.)</t>
  </si>
  <si>
    <t>Городское население на 01.01.2022 ( чел)</t>
  </si>
  <si>
    <t>Расчет коэффициента урбанизации на 2025 год</t>
  </si>
  <si>
    <t>Расчет коэффициента благоустройства на 2025 год</t>
  </si>
  <si>
    <t>протяженность
освещенных
частей
улиц на
01.01.2022,
км.</t>
  </si>
  <si>
    <t>площадь
улично-
дорожной 
сети на
01.01.2022,
тыс.кв.м.</t>
  </si>
  <si>
    <t xml:space="preserve">протяженность
дорог в
границах
населенных
пунктов на 
01.01.2022, км.
</t>
  </si>
  <si>
    <t>Численность населения на 01.01.22 г. проживающего в муниципальном жилье ( чел.)</t>
  </si>
  <si>
    <t>поправочного коэффициента на структуру жилого фонда на 2025 год</t>
  </si>
  <si>
    <t>численность
населения на
01.01.2022г.,
чел.</t>
  </si>
  <si>
    <t>численность
населения
административного
центра поселения
на 01.01.2022  г., чел.</t>
  </si>
  <si>
    <t>в административном центре поселения на 2025 год</t>
  </si>
  <si>
    <t>Лукашкин Яр</t>
  </si>
  <si>
    <t>назино</t>
  </si>
  <si>
    <t>Новониколькое</t>
  </si>
  <si>
    <t>всего</t>
  </si>
  <si>
    <t>Налог на доходы физических лиц</t>
  </si>
  <si>
    <t>Земельный налог</t>
  </si>
  <si>
    <t>Налог на имущество физических лиц</t>
  </si>
  <si>
    <t>прочие налоги</t>
  </si>
  <si>
    <t>всего налоговые и неналоговые доходы</t>
  </si>
  <si>
    <t xml:space="preserve"> </t>
  </si>
  <si>
    <r>
      <t xml:space="preserve">Площадь жилого фонда, находящегося в муниципальной собственности, на 01.01.2022 (кв.м), </t>
    </r>
    <r>
      <rPr>
        <b/>
        <sz val="12"/>
        <rFont val="Times New Roman"/>
        <family val="1"/>
        <charset val="204"/>
      </rPr>
      <t>ПЛмжфj</t>
    </r>
  </si>
  <si>
    <t>Расчет коэффициента удорожания стоимости ЖКУ на 2025 год</t>
  </si>
  <si>
    <t xml:space="preserve"> коэффициента дифференциации заработной платы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</si>
</sst>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18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i/>
      <sz val="9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164" fontId="3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5" fontId="2" fillId="4" borderId="1" xfId="0" applyNumberFormat="1" applyFont="1" applyFill="1" applyBorder="1"/>
    <xf numFmtId="0" fontId="2" fillId="0" borderId="1" xfId="0" applyFont="1" applyBorder="1"/>
    <xf numFmtId="164" fontId="2" fillId="0" borderId="1" xfId="0" applyNumberFormat="1" applyFont="1" applyBorder="1"/>
    <xf numFmtId="165" fontId="3" fillId="4" borderId="1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1" fontId="2" fillId="4" borderId="1" xfId="0" applyNumberFormat="1" applyFont="1" applyFill="1" applyBorder="1"/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164" fontId="6" fillId="0" borderId="0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2" fontId="6" fillId="0" borderId="0" xfId="0" applyNumberFormat="1" applyFont="1" applyBorder="1"/>
    <xf numFmtId="2" fontId="6" fillId="0" borderId="0" xfId="0" applyNumberFormat="1" applyFont="1"/>
    <xf numFmtId="0" fontId="6" fillId="0" borderId="1" xfId="0" applyFont="1" applyBorder="1" applyAlignment="1">
      <alignment horizont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/>
    <xf numFmtId="164" fontId="2" fillId="4" borderId="1" xfId="0" applyNumberFormat="1" applyFont="1" applyFill="1" applyBorder="1"/>
    <xf numFmtId="0" fontId="6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5" fontId="6" fillId="4" borderId="1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4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2" fillId="0" borderId="0" xfId="0" applyFont="1" applyBorder="1"/>
    <xf numFmtId="166" fontId="2" fillId="3" borderId="1" xfId="0" applyNumberFormat="1" applyFont="1" applyFill="1" applyBorder="1"/>
    <xf numFmtId="166" fontId="2" fillId="0" borderId="1" xfId="0" applyNumberFormat="1" applyFont="1" applyBorder="1"/>
    <xf numFmtId="166" fontId="2" fillId="2" borderId="1" xfId="0" applyNumberFormat="1" applyFont="1" applyFill="1" applyBorder="1"/>
    <xf numFmtId="166" fontId="3" fillId="3" borderId="1" xfId="0" applyNumberFormat="1" applyFont="1" applyFill="1" applyBorder="1"/>
    <xf numFmtId="166" fontId="2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166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164" fontId="2" fillId="3" borderId="0" xfId="0" applyNumberFormat="1" applyFont="1" applyFill="1"/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/>
    <xf numFmtId="0" fontId="8" fillId="3" borderId="1" xfId="0" applyFont="1" applyFill="1" applyBorder="1"/>
    <xf numFmtId="0" fontId="0" fillId="3" borderId="0" xfId="0" applyFill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/>
    </xf>
    <xf numFmtId="0" fontId="7" fillId="3" borderId="0" xfId="0" applyFont="1" applyFill="1"/>
    <xf numFmtId="0" fontId="2" fillId="3" borderId="0" xfId="0" applyNumberFormat="1" applyFont="1" applyFill="1" applyBorder="1" applyAlignment="1" applyProtection="1">
      <alignment vertical="top"/>
    </xf>
    <xf numFmtId="0" fontId="2" fillId="3" borderId="1" xfId="0" applyNumberFormat="1" applyFont="1" applyFill="1" applyBorder="1" applyAlignment="1" applyProtection="1">
      <alignment horizontal="left" vertical="top" indent="3"/>
    </xf>
    <xf numFmtId="49" fontId="2" fillId="3" borderId="1" xfId="0" applyNumberFormat="1" applyFont="1" applyFill="1" applyBorder="1" applyAlignment="1" applyProtection="1">
      <alignment horizontal="left" vertical="top" indent="8"/>
    </xf>
    <xf numFmtId="0" fontId="2" fillId="3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left" vertical="top" indent="4"/>
    </xf>
    <xf numFmtId="0" fontId="2" fillId="3" borderId="1" xfId="0" applyFont="1" applyFill="1" applyBorder="1" applyAlignment="1">
      <alignment horizontal="left" indent="1"/>
    </xf>
    <xf numFmtId="0" fontId="2" fillId="3" borderId="1" xfId="0" applyNumberFormat="1" applyFont="1" applyFill="1" applyBorder="1" applyAlignment="1" applyProtection="1">
      <alignment horizontal="right" vertical="top"/>
    </xf>
    <xf numFmtId="164" fontId="2" fillId="3" borderId="1" xfId="0" applyNumberFormat="1" applyFont="1" applyFill="1" applyBorder="1" applyAlignment="1" applyProtection="1">
      <alignment horizontal="right" vertical="top"/>
    </xf>
    <xf numFmtId="164" fontId="2" fillId="3" borderId="1" xfId="0" applyNumberFormat="1" applyFont="1" applyFill="1" applyBorder="1" applyAlignment="1" applyProtection="1">
      <alignment vertical="top"/>
    </xf>
    <xf numFmtId="0" fontId="3" fillId="3" borderId="1" xfId="0" applyNumberFormat="1" applyFont="1" applyFill="1" applyBorder="1" applyAlignment="1" applyProtection="1">
      <alignment horizontal="left" vertical="top"/>
    </xf>
    <xf numFmtId="165" fontId="3" fillId="3" borderId="1" xfId="0" applyNumberFormat="1" applyFont="1" applyFill="1" applyBorder="1" applyAlignment="1" applyProtection="1">
      <alignment horizontal="right" vertical="top"/>
    </xf>
    <xf numFmtId="164" fontId="3" fillId="3" borderId="1" xfId="0" applyNumberFormat="1" applyFont="1" applyFill="1" applyBorder="1" applyAlignment="1" applyProtection="1">
      <alignment horizontal="right" vertical="top"/>
    </xf>
    <xf numFmtId="164" fontId="4" fillId="3" borderId="1" xfId="0" applyNumberFormat="1" applyFont="1" applyFill="1" applyBorder="1" applyAlignment="1" applyProtection="1">
      <alignment horizontal="right" vertical="top"/>
    </xf>
    <xf numFmtId="164" fontId="2" fillId="3" borderId="0" xfId="0" applyNumberFormat="1" applyFont="1" applyFill="1" applyBorder="1" applyAlignment="1" applyProtection="1">
      <alignment vertical="top"/>
    </xf>
    <xf numFmtId="164" fontId="0" fillId="3" borderId="0" xfId="0" applyNumberFormat="1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164" fontId="2" fillId="3" borderId="2" xfId="0" applyNumberFormat="1" applyFont="1" applyFill="1" applyBorder="1"/>
    <xf numFmtId="0" fontId="3" fillId="3" borderId="1" xfId="0" applyFont="1" applyFill="1" applyBorder="1"/>
    <xf numFmtId="165" fontId="3" fillId="3" borderId="8" xfId="0" applyNumberFormat="1" applyFont="1" applyFill="1" applyBorder="1"/>
    <xf numFmtId="165" fontId="3" fillId="3" borderId="9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7" xfId="0" applyFont="1" applyFill="1" applyBorder="1" applyAlignment="1">
      <alignment horizontal="center"/>
    </xf>
    <xf numFmtId="167" fontId="2" fillId="3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2" fillId="0" borderId="0" xfId="0" applyFont="1" applyAlignment="1"/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/>
    <xf numFmtId="49" fontId="2" fillId="2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0" borderId="0" xfId="0" applyNumberFormat="1" applyFont="1" applyAlignment="1"/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/>
    <xf numFmtId="3" fontId="11" fillId="0" borderId="1" xfId="0" applyNumberFormat="1" applyFont="1" applyBorder="1"/>
    <xf numFmtId="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11" fillId="0" borderId="1" xfId="0" applyNumberFormat="1" applyFont="1" applyBorder="1"/>
    <xf numFmtId="4" fontId="10" fillId="0" borderId="1" xfId="0" applyNumberFormat="1" applyFont="1" applyBorder="1"/>
    <xf numFmtId="0" fontId="0" fillId="9" borderId="1" xfId="0" applyFill="1" applyBorder="1"/>
    <xf numFmtId="4" fontId="0" fillId="0" borderId="1" xfId="0" applyNumberFormat="1" applyBorder="1"/>
    <xf numFmtId="0" fontId="0" fillId="0" borderId="1" xfId="0" applyBorder="1"/>
    <xf numFmtId="166" fontId="15" fillId="0" borderId="1" xfId="0" applyNumberFormat="1" applyFont="1" applyBorder="1"/>
    <xf numFmtId="166" fontId="10" fillId="0" borderId="1" xfId="0" applyNumberFormat="1" applyFont="1" applyBorder="1"/>
    <xf numFmtId="4" fontId="2" fillId="0" borderId="1" xfId="0" applyNumberFormat="1" applyFont="1" applyBorder="1"/>
    <xf numFmtId="164" fontId="0" fillId="0" borderId="0" xfId="0" applyNumberFormat="1"/>
    <xf numFmtId="167" fontId="0" fillId="0" borderId="0" xfId="0" applyNumberFormat="1"/>
    <xf numFmtId="0" fontId="0" fillId="0" borderId="1" xfId="0" applyBorder="1" applyAlignment="1">
      <alignment wrapText="1"/>
    </xf>
    <xf numFmtId="0" fontId="0" fillId="0" borderId="0" xfId="0" applyBorder="1"/>
    <xf numFmtId="4" fontId="0" fillId="0" borderId="0" xfId="0" applyNumberFormat="1" applyBorder="1"/>
    <xf numFmtId="166" fontId="11" fillId="0" borderId="1" xfId="0" applyNumberFormat="1" applyFont="1" applyBorder="1"/>
    <xf numFmtId="166" fontId="0" fillId="6" borderId="1" xfId="0" applyNumberFormat="1" applyFill="1" applyBorder="1"/>
    <xf numFmtId="166" fontId="14" fillId="0" borderId="1" xfId="0" applyNumberFormat="1" applyFont="1" applyBorder="1"/>
    <xf numFmtId="166" fontId="0" fillId="3" borderId="1" xfId="0" applyNumberFormat="1" applyFill="1" applyBorder="1"/>
    <xf numFmtId="166" fontId="11" fillId="7" borderId="1" xfId="0" applyNumberFormat="1" applyFont="1" applyFill="1" applyBorder="1"/>
    <xf numFmtId="166" fontId="0" fillId="0" borderId="1" xfId="0" applyNumberFormat="1" applyBorder="1"/>
    <xf numFmtId="166" fontId="7" fillId="6" borderId="1" xfId="0" applyNumberFormat="1" applyFont="1" applyFill="1" applyBorder="1"/>
    <xf numFmtId="166" fontId="0" fillId="8" borderId="1" xfId="0" applyNumberFormat="1" applyFill="1" applyBorder="1"/>
    <xf numFmtId="166" fontId="0" fillId="9" borderId="1" xfId="0" applyNumberFormat="1" applyFill="1" applyBorder="1"/>
    <xf numFmtId="166" fontId="7" fillId="3" borderId="1" xfId="0" applyNumberFormat="1" applyFont="1" applyFill="1" applyBorder="1"/>
    <xf numFmtId="166" fontId="7" fillId="0" borderId="1" xfId="0" applyNumberFormat="1" applyFont="1" applyBorder="1"/>
    <xf numFmtId="166" fontId="11" fillId="6" borderId="1" xfId="0" applyNumberFormat="1" applyFont="1" applyFill="1" applyBorder="1"/>
    <xf numFmtId="166" fontId="11" fillId="10" borderId="1" xfId="0" applyNumberFormat="1" applyFont="1" applyFill="1" applyBorder="1"/>
    <xf numFmtId="166" fontId="11" fillId="3" borderId="1" xfId="0" applyNumberFormat="1" applyFont="1" applyFill="1" applyBorder="1"/>
    <xf numFmtId="166" fontId="16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Fill="1" applyBorder="1"/>
    <xf numFmtId="3" fontId="13" fillId="4" borderId="1" xfId="0" applyNumberFormat="1" applyFont="1" applyFill="1" applyBorder="1" applyAlignment="1">
      <alignment horizontal="center"/>
    </xf>
    <xf numFmtId="3" fontId="0" fillId="0" borderId="1" xfId="0" applyNumberFormat="1" applyBorder="1"/>
    <xf numFmtId="0" fontId="1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3" fontId="0" fillId="8" borderId="1" xfId="0" applyNumberFormat="1" applyFill="1" applyBorder="1"/>
    <xf numFmtId="166" fontId="0" fillId="0" borderId="0" xfId="0" applyNumberFormat="1"/>
    <xf numFmtId="0" fontId="3" fillId="3" borderId="0" xfId="0" applyFont="1" applyFill="1" applyAlignment="1">
      <alignment horizontal="center"/>
    </xf>
    <xf numFmtId="0" fontId="3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top"/>
    </xf>
    <xf numFmtId="0" fontId="7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2"/>
  <sheetViews>
    <sheetView view="pageBreakPreview" zoomScale="60" zoomScaleNormal="100" workbookViewId="0">
      <selection activeCell="K23" sqref="K23"/>
    </sheetView>
  </sheetViews>
  <sheetFormatPr defaultRowHeight="12.75" x14ac:dyDescent="0.2"/>
  <cols>
    <col min="1" max="1" width="16.28515625" customWidth="1"/>
    <col min="2" max="2" width="9.140625" customWidth="1"/>
    <col min="3" max="3" width="12.28515625" customWidth="1"/>
    <col min="4" max="4" width="10.85546875" customWidth="1"/>
    <col min="5" max="5" width="10" customWidth="1"/>
    <col min="6" max="6" width="11" style="122" customWidth="1"/>
    <col min="7" max="7" width="11" customWidth="1"/>
    <col min="8" max="8" width="11.7109375" customWidth="1"/>
    <col min="9" max="9" width="9.28515625" customWidth="1"/>
    <col min="11" max="11" width="11.42578125" customWidth="1"/>
    <col min="12" max="12" width="11.140625" customWidth="1"/>
    <col min="13" max="13" width="11.85546875" customWidth="1"/>
    <col min="14" max="14" width="7.5703125" customWidth="1"/>
    <col min="15" max="15" width="12" customWidth="1"/>
    <col min="16" max="16" width="16.42578125" customWidth="1"/>
    <col min="17" max="17" width="12.140625" style="122" customWidth="1"/>
    <col min="18" max="18" width="11" customWidth="1"/>
    <col min="19" max="19" width="12.28515625" customWidth="1"/>
    <col min="20" max="20" width="11.7109375" style="122" customWidth="1"/>
    <col min="21" max="21" width="11.28515625" style="122" customWidth="1"/>
    <col min="22" max="22" width="15.7109375" customWidth="1"/>
    <col min="23" max="23" width="6.28515625" customWidth="1"/>
    <col min="24" max="25" width="12.140625" customWidth="1"/>
    <col min="26" max="26" width="8" customWidth="1"/>
    <col min="27" max="27" width="13" style="122" customWidth="1"/>
    <col min="28" max="28" width="9.85546875" customWidth="1"/>
    <col min="29" max="29" width="10.42578125" customWidth="1"/>
  </cols>
  <sheetData>
    <row r="2" spans="1:29" x14ac:dyDescent="0.2">
      <c r="G2" s="179" t="s">
        <v>0</v>
      </c>
      <c r="H2" s="179"/>
    </row>
    <row r="3" spans="1:29" x14ac:dyDescent="0.2">
      <c r="D3" s="179" t="s">
        <v>167</v>
      </c>
      <c r="E3" s="179"/>
      <c r="F3" s="179"/>
      <c r="G3" s="179"/>
      <c r="H3" s="179"/>
      <c r="I3" s="179"/>
      <c r="J3" s="179"/>
      <c r="K3" s="179"/>
      <c r="L3" s="180"/>
    </row>
    <row r="6" spans="1:29" ht="148.5" customHeight="1" x14ac:dyDescent="0.2">
      <c r="A6" s="123" t="s">
        <v>138</v>
      </c>
      <c r="B6" s="167" t="s">
        <v>139</v>
      </c>
      <c r="C6" s="123" t="s">
        <v>140</v>
      </c>
      <c r="D6" s="123" t="s">
        <v>141</v>
      </c>
      <c r="E6" s="123" t="s">
        <v>142</v>
      </c>
      <c r="F6" s="124" t="s">
        <v>143</v>
      </c>
      <c r="G6" s="123" t="s">
        <v>144</v>
      </c>
      <c r="H6" s="125" t="s">
        <v>145</v>
      </c>
      <c r="I6" s="126" t="s">
        <v>146</v>
      </c>
      <c r="J6" s="123" t="s">
        <v>147</v>
      </c>
      <c r="K6" s="123" t="s">
        <v>148</v>
      </c>
      <c r="L6" s="123" t="s">
        <v>149</v>
      </c>
      <c r="M6" s="123" t="s">
        <v>150</v>
      </c>
      <c r="N6" s="123" t="s">
        <v>151</v>
      </c>
      <c r="O6" s="123" t="s">
        <v>152</v>
      </c>
      <c r="P6" s="123" t="s">
        <v>153</v>
      </c>
      <c r="Q6" s="124" t="s">
        <v>154</v>
      </c>
      <c r="R6" s="123" t="s">
        <v>155</v>
      </c>
      <c r="S6" s="127" t="s">
        <v>156</v>
      </c>
      <c r="T6" s="124" t="s">
        <v>157</v>
      </c>
      <c r="U6" s="124" t="s">
        <v>158</v>
      </c>
      <c r="V6" s="123" t="s">
        <v>159</v>
      </c>
      <c r="W6" s="123" t="s">
        <v>160</v>
      </c>
      <c r="X6" s="123" t="s">
        <v>161</v>
      </c>
      <c r="Y6" s="123" t="s">
        <v>162</v>
      </c>
      <c r="Z6" s="128" t="s">
        <v>163</v>
      </c>
      <c r="AA6" s="174" t="s">
        <v>164</v>
      </c>
      <c r="AB6" s="174" t="s">
        <v>165</v>
      </c>
      <c r="AC6" s="174" t="s">
        <v>166</v>
      </c>
    </row>
    <row r="7" spans="1:29" s="173" customFormat="1" x14ac:dyDescent="0.2">
      <c r="A7" s="168">
        <v>1</v>
      </c>
      <c r="B7" s="168">
        <v>2</v>
      </c>
      <c r="C7" s="168">
        <v>2</v>
      </c>
      <c r="D7" s="168">
        <v>3</v>
      </c>
      <c r="E7" s="168">
        <v>4</v>
      </c>
      <c r="F7" s="169">
        <v>5</v>
      </c>
      <c r="G7" s="168">
        <v>6</v>
      </c>
      <c r="H7" s="168">
        <v>7</v>
      </c>
      <c r="I7" s="170">
        <v>8</v>
      </c>
      <c r="J7" s="168">
        <v>9</v>
      </c>
      <c r="K7" s="168">
        <v>10</v>
      </c>
      <c r="L7" s="168">
        <v>11</v>
      </c>
      <c r="M7" s="168">
        <v>12</v>
      </c>
      <c r="N7" s="168">
        <v>13</v>
      </c>
      <c r="O7" s="168">
        <v>14</v>
      </c>
      <c r="P7" s="168">
        <v>15</v>
      </c>
      <c r="Q7" s="171">
        <v>16</v>
      </c>
      <c r="R7" s="171">
        <v>17</v>
      </c>
      <c r="S7" s="172">
        <v>18</v>
      </c>
      <c r="T7" s="171">
        <v>19</v>
      </c>
      <c r="U7" s="171">
        <v>20</v>
      </c>
      <c r="V7" s="168">
        <v>21</v>
      </c>
      <c r="W7" s="168">
        <v>22</v>
      </c>
      <c r="X7" s="168">
        <v>23</v>
      </c>
      <c r="Y7" s="168">
        <v>23</v>
      </c>
      <c r="Z7" s="168">
        <v>24</v>
      </c>
      <c r="AA7" s="131"/>
      <c r="AB7" s="131"/>
      <c r="AC7" s="131"/>
    </row>
    <row r="8" spans="1:29" ht="15.75" x14ac:dyDescent="0.25">
      <c r="A8" s="132" t="s">
        <v>18</v>
      </c>
      <c r="B8" s="165">
        <v>6589</v>
      </c>
      <c r="C8" s="165">
        <f>B8</f>
        <v>6589</v>
      </c>
      <c r="D8" s="146"/>
      <c r="E8" s="146"/>
      <c r="F8" s="147">
        <f>ROUND(E14*C8/1000,3)</f>
        <v>8905.4599999999991</v>
      </c>
      <c r="G8" s="146">
        <f>SUM(B18:B20)</f>
        <v>41441.700000000004</v>
      </c>
      <c r="H8" s="156">
        <f>ROUND(G8/C8*1000,2)</f>
        <v>6289.53</v>
      </c>
      <c r="I8" s="149">
        <f>ROUND(H8/H14,3)</f>
        <v>1.0089999999999999</v>
      </c>
      <c r="J8" s="150">
        <f>'116 индекс бюдж.расходов'!Y7</f>
        <v>1.0309999999999999</v>
      </c>
      <c r="K8" s="148">
        <f>ROUND(I8/J8,3)</f>
        <v>0.97899999999999998</v>
      </c>
      <c r="L8" s="146"/>
      <c r="M8" s="146"/>
      <c r="N8" s="146"/>
      <c r="O8" s="146">
        <f>N14-K8</f>
        <v>0.57599999999999996</v>
      </c>
      <c r="P8" s="166">
        <f>ROUND(H12*C8*J8*O8,1)</f>
        <v>168661912.69999999</v>
      </c>
      <c r="Q8" s="152">
        <f>ROUND(M14/P14*P8,3)</f>
        <v>8513.6779999999999</v>
      </c>
      <c r="R8" s="146"/>
      <c r="S8" s="151">
        <f>ROUND(B8*K8/1000,3)</f>
        <v>6.4509999999999996</v>
      </c>
      <c r="T8" s="147">
        <f>ROUND(R14*S8/S14,3)</f>
        <v>2295.8240000000001</v>
      </c>
      <c r="U8" s="139">
        <f>T8+Q8+F8</f>
        <v>19714.962</v>
      </c>
      <c r="V8" s="153">
        <f>K8</f>
        <v>0.97899999999999998</v>
      </c>
      <c r="W8" s="175">
        <v>2</v>
      </c>
      <c r="X8" s="151">
        <f>(G8+U8)/C8*1000</f>
        <v>9281.6302929124304</v>
      </c>
      <c r="Y8" s="154">
        <f t="shared" ref="Y8:Y13" si="0">K8+(G8+U8-F8)/(C8/1000*J8*L$14)</f>
        <v>1.3015275949448553</v>
      </c>
      <c r="Z8" s="135">
        <v>2</v>
      </c>
      <c r="AA8" s="47">
        <v>69562.2</v>
      </c>
      <c r="AB8" s="133">
        <f>B22</f>
        <v>46656.25</v>
      </c>
      <c r="AC8" s="151">
        <f>AA8-AB8-U8</f>
        <v>3190.9879999999976</v>
      </c>
    </row>
    <row r="9" spans="1:29" ht="25.5" x14ac:dyDescent="0.25">
      <c r="A9" s="132" t="s">
        <v>19</v>
      </c>
      <c r="B9" s="165">
        <v>369</v>
      </c>
      <c r="C9" s="165">
        <f t="shared" ref="C9:C13" si="1">B9</f>
        <v>369</v>
      </c>
      <c r="D9" s="146"/>
      <c r="E9" s="146"/>
      <c r="F9" s="147">
        <f>ROUND(E14*C9/1000,3)</f>
        <v>498.72699999999998</v>
      </c>
      <c r="G9" s="146">
        <f>SUM(C18:C20)</f>
        <v>699.30000000000007</v>
      </c>
      <c r="H9" s="151">
        <f t="shared" ref="H9:H13" si="2">ROUND(G9/C9*1000,2)</f>
        <v>1895.12</v>
      </c>
      <c r="I9" s="149">
        <f>ROUND(H9/H14,3)</f>
        <v>0.30399999999999999</v>
      </c>
      <c r="J9" s="150">
        <f>'116 индекс бюдж.расходов'!Y8</f>
        <v>2.02</v>
      </c>
      <c r="K9" s="151">
        <f t="shared" ref="K9:K12" si="3">ROUND(I9/J9,3)</f>
        <v>0.15</v>
      </c>
      <c r="L9" s="146"/>
      <c r="M9" s="146"/>
      <c r="N9" s="146"/>
      <c r="O9" s="146">
        <f>N14-K9</f>
        <v>1.405</v>
      </c>
      <c r="P9" s="166">
        <f>ROUND(H12*C9*J9*O9,1)</f>
        <v>45140922</v>
      </c>
      <c r="Q9" s="152">
        <f>ROUND(M14/P14*P9,3)</f>
        <v>2278.6129999999998</v>
      </c>
      <c r="R9" s="146"/>
      <c r="S9" s="151">
        <f>ROUND(B9*K9/1000,3)</f>
        <v>5.5E-2</v>
      </c>
      <c r="T9" s="147">
        <f>ROUND(R14*S9/S14,3)</f>
        <v>19.574000000000002</v>
      </c>
      <c r="U9" s="139">
        <f t="shared" ref="U9:U13" si="4">T9+Q9+F9</f>
        <v>2796.9139999999998</v>
      </c>
      <c r="V9" s="153">
        <f t="shared" ref="V9:V14" si="5">K9</f>
        <v>0.15</v>
      </c>
      <c r="W9" s="175">
        <v>4</v>
      </c>
      <c r="X9" s="151">
        <f t="shared" ref="X9:X14" si="6">(G9+U9)/C9*1000</f>
        <v>9474.8346883468839</v>
      </c>
      <c r="Y9" s="154">
        <f t="shared" si="0"/>
        <v>0.31862747540964975</v>
      </c>
      <c r="Z9" s="135">
        <v>4</v>
      </c>
      <c r="AA9" s="47">
        <v>8128.5</v>
      </c>
      <c r="AB9" s="133">
        <f>C22</f>
        <v>1624.4</v>
      </c>
      <c r="AC9" s="151">
        <f t="shared" ref="AC9:AC13" si="7">AA9-AB9-U9</f>
        <v>3707.1860000000006</v>
      </c>
    </row>
    <row r="10" spans="1:29" ht="15.75" x14ac:dyDescent="0.25">
      <c r="A10" s="132" t="s">
        <v>20</v>
      </c>
      <c r="B10" s="165">
        <v>366</v>
      </c>
      <c r="C10" s="165">
        <f t="shared" si="1"/>
        <v>366</v>
      </c>
      <c r="D10" s="151"/>
      <c r="E10" s="151"/>
      <c r="F10" s="147">
        <f>ROUND(E14*C10/1000,3)</f>
        <v>494.673</v>
      </c>
      <c r="G10" s="146">
        <f>SUM(D18:D20)</f>
        <v>325.39999999999998</v>
      </c>
      <c r="H10" s="151">
        <f t="shared" si="2"/>
        <v>889.07</v>
      </c>
      <c r="I10" s="149">
        <f>ROUND(H10/H14,3)</f>
        <v>0.14299999999999999</v>
      </c>
      <c r="J10" s="150">
        <f>'116 индекс бюдж.расходов'!Y9</f>
        <v>3.9390000000000001</v>
      </c>
      <c r="K10" s="151">
        <f t="shared" si="3"/>
        <v>3.5999999999999997E-2</v>
      </c>
      <c r="L10" s="151"/>
      <c r="M10" s="151"/>
      <c r="N10" s="151"/>
      <c r="O10" s="151">
        <f>N14-K10</f>
        <v>1.5189999999999999</v>
      </c>
      <c r="P10" s="166">
        <f>ROUND(H12*C10*J10*O10,1)</f>
        <v>94393307.799999997</v>
      </c>
      <c r="Q10" s="152">
        <f>ROUND(M14/P14*P10,3)</f>
        <v>4764.7640000000001</v>
      </c>
      <c r="R10" s="151"/>
      <c r="S10" s="151">
        <f>ROUND(B10*K10/1000,3)</f>
        <v>1.2999999999999999E-2</v>
      </c>
      <c r="T10" s="147">
        <f>ROUND(R14*S10/S14,3)</f>
        <v>4.6269999999999998</v>
      </c>
      <c r="U10" s="139">
        <f t="shared" si="4"/>
        <v>5264.0640000000003</v>
      </c>
      <c r="V10" s="153">
        <f t="shared" si="5"/>
        <v>3.5999999999999997E-2</v>
      </c>
      <c r="W10" s="175">
        <v>6</v>
      </c>
      <c r="X10" s="151">
        <f t="shared" si="6"/>
        <v>15271.759562841529</v>
      </c>
      <c r="Y10" s="154">
        <f t="shared" si="0"/>
        <v>0.18418630604160424</v>
      </c>
      <c r="Z10" s="135">
        <v>6</v>
      </c>
      <c r="AA10" s="47">
        <v>8499.1</v>
      </c>
      <c r="AB10" s="133">
        <f>D22</f>
        <v>1286.4000000000001</v>
      </c>
      <c r="AC10" s="151">
        <f t="shared" si="7"/>
        <v>1948.6360000000004</v>
      </c>
    </row>
    <row r="11" spans="1:29" ht="15.75" x14ac:dyDescent="0.25">
      <c r="A11" s="132" t="s">
        <v>21</v>
      </c>
      <c r="B11" s="165">
        <v>148</v>
      </c>
      <c r="C11" s="165">
        <f t="shared" si="1"/>
        <v>148</v>
      </c>
      <c r="D11" s="151"/>
      <c r="E11" s="151"/>
      <c r="F11" s="147">
        <f>ROUND(E14*C11/1000,3)</f>
        <v>200.03200000000001</v>
      </c>
      <c r="G11" s="146">
        <f>SUM(E18:E20)</f>
        <v>559.90000000000009</v>
      </c>
      <c r="H11" s="149">
        <f t="shared" si="2"/>
        <v>3783.11</v>
      </c>
      <c r="I11" s="149">
        <f>ROUND(H11/H14,3)</f>
        <v>0.60699999999999998</v>
      </c>
      <c r="J11" s="150">
        <f>'116 индекс бюдж.расходов'!Y10</f>
        <v>11.586</v>
      </c>
      <c r="K11" s="151">
        <f t="shared" si="3"/>
        <v>5.1999999999999998E-2</v>
      </c>
      <c r="L11" s="151"/>
      <c r="M11" s="151"/>
      <c r="N11" s="151"/>
      <c r="O11" s="151">
        <f>N14-K11</f>
        <v>1.5029999999999999</v>
      </c>
      <c r="P11" s="166">
        <f>ROUND(H12*C11*J11*O11,1)</f>
        <v>111088879.2</v>
      </c>
      <c r="Q11" s="152">
        <f>ROUND(M14/P14*P11,3)</f>
        <v>5607.5190000000002</v>
      </c>
      <c r="R11" s="151"/>
      <c r="S11" s="151">
        <f>ROUND(B11*K11/1000,3)</f>
        <v>8.0000000000000002E-3</v>
      </c>
      <c r="T11" s="147">
        <f>ROUND(R14*S11/S14,3)</f>
        <v>2.847</v>
      </c>
      <c r="U11" s="139">
        <f t="shared" si="4"/>
        <v>5810.3980000000001</v>
      </c>
      <c r="V11" s="153">
        <f t="shared" si="5"/>
        <v>5.1999999999999998E-2</v>
      </c>
      <c r="W11" s="175">
        <v>5</v>
      </c>
      <c r="X11" s="151">
        <f t="shared" si="6"/>
        <v>43042.554054054061</v>
      </c>
      <c r="Y11" s="154">
        <f t="shared" si="0"/>
        <v>0.2028889417721178</v>
      </c>
      <c r="Z11" s="135">
        <v>5</v>
      </c>
      <c r="AA11" s="138">
        <v>6978.3</v>
      </c>
      <c r="AB11" s="133">
        <f>E22</f>
        <v>1167.9000000000001</v>
      </c>
      <c r="AC11" s="151">
        <f t="shared" si="7"/>
        <v>1.9999999994979589E-3</v>
      </c>
    </row>
    <row r="12" spans="1:29" ht="15.75" x14ac:dyDescent="0.25">
      <c r="A12" s="132" t="s">
        <v>22</v>
      </c>
      <c r="B12" s="165">
        <v>103</v>
      </c>
      <c r="C12" s="165">
        <f t="shared" si="1"/>
        <v>103</v>
      </c>
      <c r="D12" s="151"/>
      <c r="E12" s="151"/>
      <c r="F12" s="147">
        <f>ROUND(E14*C12/1000,3)</f>
        <v>139.21100000000001</v>
      </c>
      <c r="G12" s="146">
        <f>SUM(F18:F20)</f>
        <v>4439.7</v>
      </c>
      <c r="H12" s="164">
        <f>ROUND(G12/C12*1000,2)</f>
        <v>43103.88</v>
      </c>
      <c r="I12" s="149">
        <f>ROUND(H12/H14,)</f>
        <v>7</v>
      </c>
      <c r="J12" s="150">
        <f>'116 индекс бюдж.расходов'!Y11</f>
        <v>4.5010000000000003</v>
      </c>
      <c r="K12" s="155">
        <f t="shared" si="3"/>
        <v>1.5549999999999999</v>
      </c>
      <c r="L12" s="151"/>
      <c r="M12" s="151"/>
      <c r="N12" s="151"/>
      <c r="O12" s="149">
        <f>N14-K12</f>
        <v>0</v>
      </c>
      <c r="P12" s="166">
        <f>ROUND(H12*C12*J12*O12,1)</f>
        <v>0</v>
      </c>
      <c r="Q12" s="152">
        <f>ROUND(M14/P14*P12,3)</f>
        <v>0</v>
      </c>
      <c r="R12" s="151"/>
      <c r="S12" s="151">
        <f t="shared" ref="S12" si="8">ROUND(B12*K12/1000,3)</f>
        <v>0.16</v>
      </c>
      <c r="T12" s="147">
        <f>ROUND(R14*S12/S14,3)</f>
        <v>56.942</v>
      </c>
      <c r="U12" s="139">
        <f t="shared" si="4"/>
        <v>196.15300000000002</v>
      </c>
      <c r="V12" s="153">
        <f t="shared" si="5"/>
        <v>1.5549999999999999</v>
      </c>
      <c r="W12" s="175">
        <v>1</v>
      </c>
      <c r="X12" s="151">
        <f t="shared" si="6"/>
        <v>45008.281553398054</v>
      </c>
      <c r="Y12" s="154">
        <f t="shared" si="0"/>
        <v>1.9617156092086159</v>
      </c>
      <c r="Z12" s="135">
        <v>1</v>
      </c>
      <c r="AA12" s="47">
        <v>5916.1</v>
      </c>
      <c r="AB12" s="133">
        <f>F22</f>
        <v>4808.1000000000004</v>
      </c>
      <c r="AC12" s="151">
        <f t="shared" si="7"/>
        <v>911.84699999999998</v>
      </c>
    </row>
    <row r="13" spans="1:29" ht="15.75" x14ac:dyDescent="0.25">
      <c r="A13" s="132" t="s">
        <v>23</v>
      </c>
      <c r="B13" s="165">
        <v>62</v>
      </c>
      <c r="C13" s="165">
        <f t="shared" si="1"/>
        <v>62</v>
      </c>
      <c r="D13" s="151"/>
      <c r="E13" s="151"/>
      <c r="F13" s="147">
        <f>ROUND(E14*C13/1000,3)</f>
        <v>83.796999999999997</v>
      </c>
      <c r="G13" s="146">
        <f>SUM(G18:G20)</f>
        <v>147.45000000000002</v>
      </c>
      <c r="H13" s="151">
        <f t="shared" si="2"/>
        <v>2378.23</v>
      </c>
      <c r="I13" s="149">
        <f>ROUND(H13/H14,3)</f>
        <v>0.38100000000000001</v>
      </c>
      <c r="J13" s="150">
        <f>'116 индекс бюдж.расходов'!Y12</f>
        <v>1.6679999999999999</v>
      </c>
      <c r="K13" s="156">
        <f>ROUND(I13/J13,3)</f>
        <v>0.22800000000000001</v>
      </c>
      <c r="L13" s="151"/>
      <c r="M13" s="151"/>
      <c r="N13" s="151"/>
      <c r="O13" s="151">
        <f>N14-K13</f>
        <v>1.327</v>
      </c>
      <c r="P13" s="166">
        <f>ROUND(H12*C13*J13*O13,1)</f>
        <v>5915276.0999999996</v>
      </c>
      <c r="Q13" s="152">
        <f>ROUND(M14/P14*P13,3)</f>
        <v>298.58999999999997</v>
      </c>
      <c r="R13" s="151"/>
      <c r="S13" s="151">
        <f>ROUND(B13*K13/1000,3)</f>
        <v>1.4E-2</v>
      </c>
      <c r="T13" s="147">
        <f>ROUND(R14*S13/S14,3)</f>
        <v>4.9820000000000002</v>
      </c>
      <c r="U13" s="139">
        <f t="shared" si="4"/>
        <v>387.36900000000003</v>
      </c>
      <c r="V13" s="153">
        <f t="shared" si="5"/>
        <v>0.22800000000000001</v>
      </c>
      <c r="W13" s="175">
        <v>3</v>
      </c>
      <c r="X13" s="151">
        <f t="shared" si="6"/>
        <v>8626.1129032258086</v>
      </c>
      <c r="Y13" s="154">
        <f t="shared" si="0"/>
        <v>0.41087685991698597</v>
      </c>
      <c r="Z13" s="135">
        <v>3</v>
      </c>
      <c r="AA13" s="47">
        <v>6273</v>
      </c>
      <c r="AB13" s="133">
        <f>G22</f>
        <v>595.61</v>
      </c>
      <c r="AC13" s="151">
        <f t="shared" si="7"/>
        <v>5290.0210000000006</v>
      </c>
    </row>
    <row r="14" spans="1:29" x14ac:dyDescent="0.2">
      <c r="A14" s="129" t="s">
        <v>17</v>
      </c>
      <c r="B14" s="130">
        <f>B10+B11+B12+B13+B8+B9</f>
        <v>7637</v>
      </c>
      <c r="C14" s="130">
        <f>C10+C11+C12+C13+C8+C9</f>
        <v>7637</v>
      </c>
      <c r="D14" s="146">
        <v>10321.9</v>
      </c>
      <c r="E14" s="146">
        <f>ROUND(D14/C14*1000,4)</f>
        <v>1351.5648000000001</v>
      </c>
      <c r="F14" s="157">
        <f>SUM(F8:F13)</f>
        <v>10321.9</v>
      </c>
      <c r="G14" s="158">
        <f>SUM(G8:G13)</f>
        <v>47613.450000000004</v>
      </c>
      <c r="H14" s="146">
        <f>ROUND(G14/C14*1000,2)</f>
        <v>6234.58</v>
      </c>
      <c r="I14" s="159">
        <v>1</v>
      </c>
      <c r="J14" s="150">
        <f>'116 индекс бюдж.расходов'!Y13</f>
        <v>1.4379999999999999</v>
      </c>
      <c r="K14" s="146">
        <f>ROUND(I14/J14,3)</f>
        <v>0.69499999999999995</v>
      </c>
      <c r="L14" s="146">
        <v>23847.96</v>
      </c>
      <c r="M14" s="146">
        <f>L14*0.9</f>
        <v>21463.164000000001</v>
      </c>
      <c r="N14" s="160">
        <v>1.5549999999999999</v>
      </c>
      <c r="O14" s="146"/>
      <c r="P14" s="130">
        <f>SUM(P8:P13)</f>
        <v>425200297.80000001</v>
      </c>
      <c r="Q14" s="157">
        <f>SUM(Q8:Q13)</f>
        <v>21463.164000000001</v>
      </c>
      <c r="R14" s="146">
        <f>L14-M14</f>
        <v>2384.7959999999985</v>
      </c>
      <c r="S14" s="151">
        <f>SUM(S8:S13)</f>
        <v>6.7009999999999996</v>
      </c>
      <c r="T14" s="157">
        <f>T10+T11+T12+T13+T8+T9</f>
        <v>2384.7960000000003</v>
      </c>
      <c r="U14" s="139">
        <f>SUM(U8:U13)</f>
        <v>34169.86</v>
      </c>
      <c r="V14" s="151">
        <f t="shared" si="5"/>
        <v>0.69499999999999995</v>
      </c>
      <c r="W14" s="151"/>
      <c r="X14" s="151">
        <f t="shared" si="6"/>
        <v>10708.826764436297</v>
      </c>
      <c r="Y14" s="151">
        <v>1</v>
      </c>
      <c r="Z14" s="137"/>
      <c r="AA14" s="139">
        <f>AA13+AA12+AA11+AA10+AA9+AA8</f>
        <v>105357.2</v>
      </c>
      <c r="AB14" s="134">
        <f>AB13+AB12+AB11+AB10+AB9+AB8</f>
        <v>56138.66</v>
      </c>
      <c r="AC14" s="139">
        <f>AC13+AC12+AC11+AC10+AC9+AC8</f>
        <v>15048.679999999998</v>
      </c>
    </row>
    <row r="15" spans="1:29" ht="15.75" x14ac:dyDescent="0.25">
      <c r="AA15" s="140"/>
      <c r="AB15" s="140"/>
      <c r="AC15" s="140"/>
    </row>
    <row r="16" spans="1:29" x14ac:dyDescent="0.2">
      <c r="I16" s="141"/>
      <c r="L16" s="142"/>
      <c r="S16" s="176">
        <f>Q8+T8</f>
        <v>10809.502</v>
      </c>
    </row>
    <row r="17" spans="1:19" ht="25.5" x14ac:dyDescent="0.2">
      <c r="A17" s="137"/>
      <c r="B17" s="161" t="s">
        <v>18</v>
      </c>
      <c r="C17" s="162" t="s">
        <v>187</v>
      </c>
      <c r="D17" s="161" t="s">
        <v>188</v>
      </c>
      <c r="E17" s="161" t="s">
        <v>189</v>
      </c>
      <c r="F17" s="161" t="s">
        <v>22</v>
      </c>
      <c r="G17" s="161" t="s">
        <v>23</v>
      </c>
      <c r="H17" s="161" t="s">
        <v>190</v>
      </c>
      <c r="I17" s="144"/>
      <c r="J17" s="144"/>
      <c r="K17" s="144"/>
      <c r="S17" s="176">
        <f t="shared" ref="S17:S21" si="9">Q9+T9</f>
        <v>2298.1869999999999</v>
      </c>
    </row>
    <row r="18" spans="1:19" ht="25.5" x14ac:dyDescent="0.2">
      <c r="A18" s="143" t="s">
        <v>191</v>
      </c>
      <c r="B18" s="136">
        <v>37463.300000000003</v>
      </c>
      <c r="C18" s="136">
        <v>682.6</v>
      </c>
      <c r="D18" s="137">
        <v>304.3</v>
      </c>
      <c r="E18" s="137">
        <v>548.70000000000005</v>
      </c>
      <c r="F18" s="136">
        <v>4431.7</v>
      </c>
      <c r="G18" s="137">
        <v>137.5</v>
      </c>
      <c r="H18" s="136">
        <f>SUM(B18:G18)</f>
        <v>43568.1</v>
      </c>
      <c r="I18" s="145"/>
      <c r="J18" s="144"/>
      <c r="K18" s="145"/>
      <c r="S18" s="176">
        <f t="shared" si="9"/>
        <v>4769.3910000000005</v>
      </c>
    </row>
    <row r="19" spans="1:19" x14ac:dyDescent="0.2">
      <c r="A19" s="143" t="s">
        <v>192</v>
      </c>
      <c r="B19" s="136">
        <v>1507.5</v>
      </c>
      <c r="C19" s="136">
        <v>5.7</v>
      </c>
      <c r="D19" s="137">
        <v>1.2</v>
      </c>
      <c r="E19" s="137">
        <v>5.7</v>
      </c>
      <c r="F19" s="137">
        <v>6.9</v>
      </c>
      <c r="G19" s="137">
        <v>1.1499999999999999</v>
      </c>
      <c r="H19" s="136">
        <f t="shared" ref="H19:H20" si="10">SUM(B19:G19)</f>
        <v>1528.1500000000003</v>
      </c>
      <c r="I19" s="144"/>
      <c r="J19" s="144"/>
      <c r="K19" s="145"/>
      <c r="S19" s="176">
        <f t="shared" si="9"/>
        <v>5610.366</v>
      </c>
    </row>
    <row r="20" spans="1:19" ht="38.25" x14ac:dyDescent="0.2">
      <c r="A20" s="143" t="s">
        <v>193</v>
      </c>
      <c r="B20" s="136">
        <v>2470.9</v>
      </c>
      <c r="C20" s="136">
        <v>11</v>
      </c>
      <c r="D20" s="137">
        <v>19.899999999999999</v>
      </c>
      <c r="E20" s="137">
        <v>5.5</v>
      </c>
      <c r="F20" s="137">
        <v>1.1000000000000001</v>
      </c>
      <c r="G20" s="137">
        <v>8.8000000000000007</v>
      </c>
      <c r="H20" s="136">
        <f t="shared" si="10"/>
        <v>2517.2000000000003</v>
      </c>
      <c r="I20" s="144"/>
      <c r="J20" s="144"/>
      <c r="K20" s="145"/>
      <c r="S20" s="176">
        <f t="shared" si="9"/>
        <v>56.942</v>
      </c>
    </row>
    <row r="21" spans="1:19" x14ac:dyDescent="0.2">
      <c r="A21" s="137" t="s">
        <v>194</v>
      </c>
      <c r="B21" s="136">
        <f>B22-B18-B19-B20</f>
        <v>5214.5499999999975</v>
      </c>
      <c r="C21" s="136">
        <f t="shared" ref="C21:G21" si="11">C22-C18-C19-C20</f>
        <v>925.1</v>
      </c>
      <c r="D21" s="136">
        <f t="shared" si="11"/>
        <v>961.00000000000011</v>
      </c>
      <c r="E21" s="136">
        <f t="shared" si="11"/>
        <v>608</v>
      </c>
      <c r="F21" s="136">
        <f t="shared" si="11"/>
        <v>368.40000000000055</v>
      </c>
      <c r="G21" s="136">
        <f t="shared" si="11"/>
        <v>448.16</v>
      </c>
      <c r="H21" s="136">
        <f>SUM(B21:G21)</f>
        <v>8525.2099999999991</v>
      </c>
      <c r="I21" s="144"/>
      <c r="J21" s="144"/>
      <c r="K21" s="145"/>
      <c r="S21" s="176">
        <f t="shared" si="9"/>
        <v>303.572</v>
      </c>
    </row>
    <row r="22" spans="1:19" x14ac:dyDescent="0.2">
      <c r="A22" t="s">
        <v>195</v>
      </c>
      <c r="B22">
        <v>46656.25</v>
      </c>
      <c r="C22">
        <v>1624.4</v>
      </c>
      <c r="D22">
        <v>1286.4000000000001</v>
      </c>
      <c r="E22">
        <v>1167.9000000000001</v>
      </c>
      <c r="F22" s="122">
        <v>4808.1000000000004</v>
      </c>
      <c r="G22">
        <v>595.61</v>
      </c>
      <c r="H22" s="136">
        <f>SUM(B22:G22)</f>
        <v>56138.66</v>
      </c>
      <c r="I22" s="122"/>
      <c r="S22" s="122">
        <f>SUM(S16:S21)</f>
        <v>23847.960000000003</v>
      </c>
    </row>
  </sheetData>
  <mergeCells count="2">
    <mergeCell ref="G2:H2"/>
    <mergeCell ref="D3:L3"/>
  </mergeCells>
  <pageMargins left="0.70866141732283472" right="0.51181102362204722" top="0.55118110236220474" bottom="0.55118110236220474" header="0.11811023622047245" footer="0.11811023622047245"/>
  <pageSetup paperSize="9" scale="78" firstPageNumber="114" orientation="landscape" useFirstPageNumber="1" r:id="rId1"/>
  <headerFooter>
    <oddFooter>&amp;C&amp;P</oddFooter>
  </headerFooter>
  <colBreaks count="1" manualBreakCount="1">
    <brk id="14" max="1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A2" sqref="A2:F2"/>
    </sheetView>
  </sheetViews>
  <sheetFormatPr defaultRowHeight="12.75" x14ac:dyDescent="0.2"/>
  <cols>
    <col min="1" max="1" width="24.7109375" style="64" customWidth="1"/>
    <col min="2" max="2" width="20.42578125" style="64" customWidth="1"/>
    <col min="3" max="4" width="22" style="64" customWidth="1"/>
    <col min="5" max="5" width="24" style="64" customWidth="1"/>
    <col min="6" max="6" width="18.7109375" style="64" customWidth="1"/>
    <col min="7" max="16384" width="9.140625" style="64"/>
  </cols>
  <sheetData>
    <row r="1" spans="1:7" ht="15.75" x14ac:dyDescent="0.25">
      <c r="A1" s="186" t="s">
        <v>24</v>
      </c>
      <c r="B1" s="186"/>
      <c r="C1" s="186"/>
      <c r="D1" s="186"/>
      <c r="E1" s="186"/>
      <c r="F1" s="186"/>
      <c r="G1" s="54"/>
    </row>
    <row r="2" spans="1:7" ht="15.75" x14ac:dyDescent="0.25">
      <c r="A2" s="199" t="s">
        <v>183</v>
      </c>
      <c r="B2" s="199"/>
      <c r="C2" s="199"/>
      <c r="D2" s="199"/>
      <c r="E2" s="199"/>
      <c r="F2" s="199"/>
      <c r="G2" s="54"/>
    </row>
    <row r="3" spans="1:7" ht="15.75" x14ac:dyDescent="0.25">
      <c r="G3" s="54"/>
    </row>
    <row r="4" spans="1:7" ht="15.75" x14ac:dyDescent="0.25">
      <c r="A4" s="98" t="s">
        <v>114</v>
      </c>
      <c r="B4" s="98"/>
      <c r="C4" s="98"/>
      <c r="D4" s="98"/>
      <c r="E4" s="98"/>
      <c r="F4" s="98"/>
      <c r="G4" s="54"/>
    </row>
    <row r="5" spans="1:7" ht="15.75" x14ac:dyDescent="0.25">
      <c r="A5" s="200" t="s">
        <v>25</v>
      </c>
      <c r="B5" s="200" t="s">
        <v>182</v>
      </c>
      <c r="C5" s="200" t="s">
        <v>197</v>
      </c>
      <c r="D5" s="200" t="s">
        <v>29</v>
      </c>
      <c r="E5" s="200" t="s">
        <v>30</v>
      </c>
      <c r="F5" s="200" t="s">
        <v>115</v>
      </c>
      <c r="G5" s="54"/>
    </row>
    <row r="6" spans="1:7" ht="122.25" customHeight="1" x14ac:dyDescent="0.25">
      <c r="A6" s="200"/>
      <c r="B6" s="200"/>
      <c r="C6" s="200"/>
      <c r="D6" s="200"/>
      <c r="E6" s="200"/>
      <c r="F6" s="200"/>
      <c r="G6" s="54"/>
    </row>
    <row r="7" spans="1:7" ht="15.75" x14ac:dyDescent="0.25">
      <c r="A7" s="65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54"/>
    </row>
    <row r="8" spans="1:7" ht="18" customHeight="1" x14ac:dyDescent="0.3">
      <c r="A8" s="61" t="s">
        <v>18</v>
      </c>
      <c r="B8" s="38">
        <v>6589</v>
      </c>
      <c r="C8" s="99">
        <v>6301.3</v>
      </c>
      <c r="D8" s="62">
        <f>C8/B8</f>
        <v>0.95633631810593411</v>
      </c>
      <c r="E8" s="62"/>
      <c r="F8" s="100">
        <f>ROUND(D8/E14,3)</f>
        <v>0.46200000000000002</v>
      </c>
      <c r="G8" s="54"/>
    </row>
    <row r="9" spans="1:7" ht="33" customHeight="1" x14ac:dyDescent="0.3">
      <c r="A9" s="61" t="s">
        <v>19</v>
      </c>
      <c r="B9" s="38">
        <v>369</v>
      </c>
      <c r="C9" s="99">
        <v>915</v>
      </c>
      <c r="D9" s="62">
        <f t="shared" ref="D9:D13" si="0">C9/B9</f>
        <v>2.4796747967479673</v>
      </c>
      <c r="E9" s="62"/>
      <c r="F9" s="100">
        <f>ROUND(D9/E14,3)</f>
        <v>1.198</v>
      </c>
      <c r="G9" s="54"/>
    </row>
    <row r="10" spans="1:7" ht="18" customHeight="1" x14ac:dyDescent="0.3">
      <c r="A10" s="61" t="s">
        <v>20</v>
      </c>
      <c r="B10" s="38">
        <v>366</v>
      </c>
      <c r="C10" s="99">
        <v>3200</v>
      </c>
      <c r="D10" s="62">
        <f t="shared" si="0"/>
        <v>8.7431693989071047</v>
      </c>
      <c r="E10" s="62"/>
      <c r="F10" s="100">
        <f>ROUND(D10/E14,)</f>
        <v>4</v>
      </c>
      <c r="G10" s="54"/>
    </row>
    <row r="11" spans="1:7" ht="18" customHeight="1" x14ac:dyDescent="0.3">
      <c r="A11" s="61" t="s">
        <v>21</v>
      </c>
      <c r="B11" s="38">
        <v>148</v>
      </c>
      <c r="C11" s="99">
        <v>898</v>
      </c>
      <c r="D11" s="62">
        <f t="shared" si="0"/>
        <v>6.0675675675675675</v>
      </c>
      <c r="E11" s="62"/>
      <c r="F11" s="100">
        <f>ROUND(D11/E14,3)</f>
        <v>2.9329999999999998</v>
      </c>
      <c r="G11" s="54"/>
    </row>
    <row r="12" spans="1:7" ht="18" customHeight="1" x14ac:dyDescent="0.3">
      <c r="A12" s="61" t="s">
        <v>22</v>
      </c>
      <c r="B12" s="38">
        <v>103</v>
      </c>
      <c r="C12" s="99">
        <v>3885.7</v>
      </c>
      <c r="D12" s="62">
        <f t="shared" si="0"/>
        <v>37.725242718446601</v>
      </c>
      <c r="E12" s="62"/>
      <c r="F12" s="100">
        <f>ROUND(D12/E14,3)</f>
        <v>18.234000000000002</v>
      </c>
      <c r="G12" s="54"/>
    </row>
    <row r="13" spans="1:7" ht="18" customHeight="1" x14ac:dyDescent="0.3">
      <c r="A13" s="61" t="s">
        <v>23</v>
      </c>
      <c r="B13" s="38">
        <v>62</v>
      </c>
      <c r="C13" s="99">
        <v>600</v>
      </c>
      <c r="D13" s="62">
        <f t="shared" si="0"/>
        <v>9.67741935483871</v>
      </c>
      <c r="E13" s="62"/>
      <c r="F13" s="100">
        <f>ROUND(D13/E14,3)</f>
        <v>4.6769999999999996</v>
      </c>
      <c r="G13" s="54"/>
    </row>
    <row r="14" spans="1:7" ht="15.75" x14ac:dyDescent="0.25">
      <c r="A14" s="69" t="s">
        <v>17</v>
      </c>
      <c r="B14" s="101">
        <f>B8+B9+B10+B11+B12+B13</f>
        <v>7637</v>
      </c>
      <c r="C14" s="69">
        <f>C8+C9+C10+C11+C12+C13</f>
        <v>15800</v>
      </c>
      <c r="D14" s="102">
        <f>C14/B14</f>
        <v>2.0688752127798873</v>
      </c>
      <c r="E14" s="102">
        <f>ROUND(C14/B14,3)</f>
        <v>2.069</v>
      </c>
      <c r="F14" s="102"/>
      <c r="G14" s="54"/>
    </row>
    <row r="15" spans="1:7" ht="15.75" x14ac:dyDescent="0.25">
      <c r="A15" s="54"/>
      <c r="B15" s="54"/>
      <c r="C15" s="54"/>
      <c r="D15" s="54"/>
      <c r="E15" s="54"/>
      <c r="F15" s="54"/>
      <c r="G15" s="54"/>
    </row>
    <row r="16" spans="1:7" ht="15.75" x14ac:dyDescent="0.25">
      <c r="A16" s="54" t="s">
        <v>116</v>
      </c>
      <c r="B16" s="54"/>
      <c r="C16" s="54"/>
      <c r="D16" s="54"/>
      <c r="E16" s="54"/>
      <c r="F16" s="54"/>
      <c r="G16" s="54"/>
    </row>
    <row r="17" spans="1:7" ht="15.75" x14ac:dyDescent="0.25">
      <c r="A17" s="54"/>
      <c r="B17" s="54"/>
      <c r="C17" s="54"/>
      <c r="D17" s="54"/>
      <c r="E17" s="54"/>
      <c r="F17" s="54"/>
      <c r="G17" s="54"/>
    </row>
    <row r="18" spans="1:7" ht="15.75" x14ac:dyDescent="0.25">
      <c r="A18" s="54" t="s">
        <v>41</v>
      </c>
      <c r="B18" s="54"/>
      <c r="C18" s="54"/>
      <c r="D18" s="54"/>
      <c r="E18" s="54"/>
      <c r="F18" s="54"/>
      <c r="G18" s="54"/>
    </row>
    <row r="19" spans="1:7" ht="15.75" x14ac:dyDescent="0.25">
      <c r="A19" s="54" t="s">
        <v>42</v>
      </c>
      <c r="B19" s="54"/>
      <c r="C19" s="54"/>
      <c r="D19" s="54"/>
      <c r="E19" s="54"/>
      <c r="F19" s="54"/>
      <c r="G19" s="54"/>
    </row>
    <row r="20" spans="1:7" ht="15.75" x14ac:dyDescent="0.25">
      <c r="A20" s="54"/>
      <c r="B20" s="54"/>
      <c r="C20" s="54"/>
      <c r="D20" s="54"/>
      <c r="E20" s="54"/>
      <c r="F20" s="54"/>
      <c r="G20" s="54"/>
    </row>
  </sheetData>
  <mergeCells count="8">
    <mergeCell ref="A1:F1"/>
    <mergeCell ref="A2:F2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firstPageNumber="125" orientation="landscape" useFirstPageNumber="1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A3" sqref="A3:D3"/>
    </sheetView>
  </sheetViews>
  <sheetFormatPr defaultRowHeight="12.75" x14ac:dyDescent="0.2"/>
  <cols>
    <col min="1" max="1" width="19.42578125" style="64" customWidth="1"/>
    <col min="2" max="2" width="16.140625" style="64" customWidth="1"/>
    <col min="3" max="3" width="24" style="64" customWidth="1"/>
    <col min="4" max="4" width="25.28515625" style="64" customWidth="1"/>
    <col min="5" max="16384" width="9.140625" style="64"/>
  </cols>
  <sheetData>
    <row r="1" spans="1:6" ht="15.75" x14ac:dyDescent="0.25">
      <c r="A1" s="186" t="s">
        <v>0</v>
      </c>
      <c r="B1" s="180"/>
      <c r="C1" s="180"/>
      <c r="D1" s="180"/>
      <c r="E1" s="54"/>
      <c r="F1" s="54"/>
    </row>
    <row r="2" spans="1:6" ht="15.75" x14ac:dyDescent="0.25">
      <c r="A2" s="186" t="s">
        <v>27</v>
      </c>
      <c r="B2" s="191"/>
      <c r="C2" s="191"/>
      <c r="D2" s="191"/>
      <c r="E2" s="177"/>
      <c r="F2" s="177"/>
    </row>
    <row r="3" spans="1:6" ht="15.75" x14ac:dyDescent="0.25">
      <c r="A3" s="186" t="s">
        <v>186</v>
      </c>
      <c r="B3" s="191"/>
      <c r="C3" s="191"/>
      <c r="D3" s="191"/>
      <c r="E3" s="177"/>
      <c r="F3" s="177"/>
    </row>
    <row r="4" spans="1:6" ht="15.75" x14ac:dyDescent="0.25">
      <c r="A4" s="54"/>
      <c r="B4" s="54"/>
      <c r="C4" s="54"/>
      <c r="D4" s="54"/>
      <c r="E4" s="54"/>
      <c r="F4" s="54"/>
    </row>
    <row r="5" spans="1:6" ht="15.75" x14ac:dyDescent="0.25">
      <c r="A5" s="54" t="s">
        <v>118</v>
      </c>
      <c r="B5" s="54"/>
      <c r="C5" s="54"/>
      <c r="D5" s="54"/>
      <c r="E5" s="54"/>
      <c r="F5" s="54"/>
    </row>
    <row r="6" spans="1:6" ht="109.5" customHeight="1" x14ac:dyDescent="0.25">
      <c r="A6" s="90" t="s">
        <v>1</v>
      </c>
      <c r="B6" s="90" t="s">
        <v>184</v>
      </c>
      <c r="C6" s="90" t="s">
        <v>185</v>
      </c>
      <c r="D6" s="90" t="s">
        <v>117</v>
      </c>
      <c r="E6" s="54"/>
      <c r="F6" s="54"/>
    </row>
    <row r="7" spans="1:6" ht="15.75" x14ac:dyDescent="0.25">
      <c r="A7" s="66">
        <v>1</v>
      </c>
      <c r="B7" s="66">
        <v>2</v>
      </c>
      <c r="C7" s="66">
        <v>3</v>
      </c>
      <c r="D7" s="66">
        <v>4</v>
      </c>
      <c r="E7" s="54"/>
      <c r="F7" s="54"/>
    </row>
    <row r="8" spans="1:6" ht="19.5" customHeight="1" x14ac:dyDescent="0.3">
      <c r="A8" s="61" t="s">
        <v>18</v>
      </c>
      <c r="B8" s="38">
        <v>6589</v>
      </c>
      <c r="C8" s="38">
        <v>6526</v>
      </c>
      <c r="D8" s="67">
        <f>1+ROUND((B8-C8)/B8,3)</f>
        <v>1.01</v>
      </c>
      <c r="E8" s="54"/>
      <c r="F8" s="54"/>
    </row>
    <row r="9" spans="1:6" ht="19.5" customHeight="1" x14ac:dyDescent="0.3">
      <c r="A9" s="61" t="s">
        <v>19</v>
      </c>
      <c r="B9" s="38">
        <v>369</v>
      </c>
      <c r="C9" s="38">
        <v>366</v>
      </c>
      <c r="D9" s="67">
        <f>1+(B9-C9)/B9</f>
        <v>1.0081300813008129</v>
      </c>
      <c r="E9" s="54"/>
      <c r="F9" s="54"/>
    </row>
    <row r="10" spans="1:6" ht="19.5" customHeight="1" x14ac:dyDescent="0.3">
      <c r="A10" s="61" t="s">
        <v>20</v>
      </c>
      <c r="B10" s="38">
        <v>366</v>
      </c>
      <c r="C10" s="38">
        <v>148</v>
      </c>
      <c r="D10" s="67">
        <f>1+(B10-C10)/B10</f>
        <v>1.5956284153005464</v>
      </c>
      <c r="E10" s="54"/>
      <c r="F10" s="54"/>
    </row>
    <row r="11" spans="1:6" ht="19.5" customHeight="1" x14ac:dyDescent="0.3">
      <c r="A11" s="61" t="s">
        <v>21</v>
      </c>
      <c r="B11" s="38">
        <v>148</v>
      </c>
      <c r="C11" s="38">
        <v>103</v>
      </c>
      <c r="D11" s="67">
        <f t="shared" ref="D11:D14" si="0">1+(B11-C11)/B11</f>
        <v>1.3040540540540539</v>
      </c>
      <c r="E11" s="54"/>
      <c r="F11" s="54"/>
    </row>
    <row r="12" spans="1:6" ht="19.5" customHeight="1" x14ac:dyDescent="0.3">
      <c r="A12" s="61" t="s">
        <v>22</v>
      </c>
      <c r="B12" s="38">
        <v>103</v>
      </c>
      <c r="C12" s="38">
        <v>62</v>
      </c>
      <c r="D12" s="67">
        <f t="shared" si="0"/>
        <v>1.3980582524271845</v>
      </c>
      <c r="E12" s="54"/>
      <c r="F12" s="54"/>
    </row>
    <row r="13" spans="1:6" ht="19.5" customHeight="1" x14ac:dyDescent="0.3">
      <c r="A13" s="61" t="s">
        <v>23</v>
      </c>
      <c r="B13" s="38">
        <v>62</v>
      </c>
      <c r="C13" s="66">
        <v>48</v>
      </c>
      <c r="D13" s="67">
        <f>1+ROUND((B13-C13)/B13,3)</f>
        <v>1.226</v>
      </c>
      <c r="E13" s="54"/>
      <c r="F13" s="54"/>
    </row>
    <row r="14" spans="1:6" ht="15.75" x14ac:dyDescent="0.25">
      <c r="A14" s="103" t="s">
        <v>17</v>
      </c>
      <c r="B14" s="66">
        <f>B10+B11+B12+B13+B8+B9</f>
        <v>7637</v>
      </c>
      <c r="C14" s="66">
        <f>C10+C11+C12+C13+C8+C9</f>
        <v>7253</v>
      </c>
      <c r="D14" s="67">
        <f t="shared" si="0"/>
        <v>1.0502815241587011</v>
      </c>
      <c r="E14" s="54"/>
      <c r="F14" s="54"/>
    </row>
    <row r="15" spans="1:6" ht="15.75" x14ac:dyDescent="0.25">
      <c r="A15" s="54"/>
      <c r="B15" s="54"/>
      <c r="C15" s="54"/>
      <c r="D15" s="54"/>
      <c r="E15" s="54"/>
      <c r="F15" s="54"/>
    </row>
  </sheetData>
  <mergeCells count="3">
    <mergeCell ref="A1:D1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firstPageNumber="126" orientation="portrait" useFirstPageNumber="1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view="pageBreakPreview" zoomScale="85" zoomScaleNormal="100" zoomScaleSheetLayoutView="85" workbookViewId="0">
      <selection activeCell="G25" sqref="G25"/>
    </sheetView>
  </sheetViews>
  <sheetFormatPr defaultRowHeight="15.75" x14ac:dyDescent="0.25"/>
  <cols>
    <col min="1" max="1" width="34.140625" style="104" customWidth="1"/>
    <col min="2" max="2" width="13.28515625" style="11" customWidth="1"/>
    <col min="3" max="3" width="15.140625" style="11" customWidth="1"/>
    <col min="4" max="4" width="11.85546875" style="11" customWidth="1"/>
    <col min="5" max="5" width="13.42578125" style="11" customWidth="1"/>
    <col min="6" max="6" width="11.85546875" style="11" customWidth="1"/>
    <col min="7" max="7" width="15.7109375" style="11" customWidth="1"/>
    <col min="8" max="8" width="13.7109375" style="11" customWidth="1"/>
    <col min="9" max="9" width="16.7109375" style="115" customWidth="1"/>
    <col min="10" max="10" width="10.85546875" style="11" customWidth="1"/>
    <col min="11" max="11" width="11.85546875" style="11" customWidth="1"/>
    <col min="12" max="12" width="10.140625" style="11" customWidth="1"/>
    <col min="13" max="13" width="11.7109375" style="11" customWidth="1"/>
    <col min="14" max="14" width="12.7109375" style="11" customWidth="1"/>
    <col min="15" max="15" width="14.42578125" style="52" customWidth="1"/>
    <col min="16" max="16384" width="9.140625" style="11"/>
  </cols>
  <sheetData>
    <row r="1" spans="1:16" ht="24" customHeight="1" x14ac:dyDescent="0.25">
      <c r="D1" s="178" t="s">
        <v>137</v>
      </c>
      <c r="E1" s="178"/>
    </row>
    <row r="2" spans="1:16" ht="109.5" customHeight="1" x14ac:dyDescent="0.25">
      <c r="A2" s="105"/>
      <c r="B2" s="216" t="s">
        <v>53</v>
      </c>
      <c r="C2" s="217"/>
      <c r="D2" s="216" t="s">
        <v>54</v>
      </c>
      <c r="E2" s="217"/>
      <c r="F2" s="216" t="s">
        <v>55</v>
      </c>
      <c r="G2" s="217"/>
      <c r="H2" s="216" t="s">
        <v>56</v>
      </c>
      <c r="I2" s="217"/>
      <c r="J2" s="216" t="s">
        <v>57</v>
      </c>
      <c r="K2" s="217"/>
      <c r="L2" s="216" t="s">
        <v>58</v>
      </c>
      <c r="M2" s="217"/>
      <c r="N2" s="216" t="s">
        <v>47</v>
      </c>
      <c r="O2" s="217"/>
    </row>
    <row r="3" spans="1:16" ht="31.5" x14ac:dyDescent="0.25">
      <c r="A3" s="105"/>
      <c r="B3" s="53" t="s">
        <v>43</v>
      </c>
      <c r="C3" s="53" t="s">
        <v>130</v>
      </c>
      <c r="D3" s="53" t="s">
        <v>43</v>
      </c>
      <c r="E3" s="53" t="s">
        <v>130</v>
      </c>
      <c r="F3" s="53" t="s">
        <v>43</v>
      </c>
      <c r="G3" s="53" t="s">
        <v>130</v>
      </c>
      <c r="H3" s="53" t="s">
        <v>43</v>
      </c>
      <c r="I3" s="116" t="s">
        <v>130</v>
      </c>
      <c r="J3" s="53" t="s">
        <v>43</v>
      </c>
      <c r="K3" s="53" t="s">
        <v>130</v>
      </c>
      <c r="L3" s="53" t="s">
        <v>43</v>
      </c>
      <c r="M3" s="53" t="s">
        <v>130</v>
      </c>
      <c r="N3" s="53" t="s">
        <v>43</v>
      </c>
      <c r="O3" s="53" t="s">
        <v>130</v>
      </c>
      <c r="P3" s="45"/>
    </row>
    <row r="4" spans="1:16" ht="31.5" x14ac:dyDescent="0.25">
      <c r="A4" s="15" t="s">
        <v>44</v>
      </c>
      <c r="B4" s="106">
        <v>0.29499999999999998</v>
      </c>
      <c r="C4" s="107">
        <v>31029.506000000001</v>
      </c>
      <c r="D4" s="12">
        <v>0.36</v>
      </c>
      <c r="E4" s="50">
        <v>27763.401000000002</v>
      </c>
      <c r="F4" s="12">
        <v>1.6E-2</v>
      </c>
      <c r="G4" s="50">
        <v>1076.5650000000001</v>
      </c>
      <c r="H4" s="12">
        <v>0.16200000000000001</v>
      </c>
      <c r="I4" s="106">
        <v>11136.46</v>
      </c>
      <c r="J4" s="12">
        <v>2.4E-2</v>
      </c>
      <c r="K4" s="50">
        <v>1680.6579999999999</v>
      </c>
      <c r="L4" s="12">
        <v>0.1</v>
      </c>
      <c r="M4" s="50">
        <v>6875.61</v>
      </c>
      <c r="N4" s="12">
        <v>0.95699999999999996</v>
      </c>
      <c r="O4" s="50">
        <f>SUM(C4,E4,G4,I4,K4,M4)</f>
        <v>79562.2</v>
      </c>
      <c r="P4" s="45"/>
    </row>
    <row r="5" spans="1:16" ht="31.5" x14ac:dyDescent="0.25">
      <c r="A5" s="15" t="s">
        <v>49</v>
      </c>
      <c r="B5" s="106">
        <v>0.64900000000000002</v>
      </c>
      <c r="C5" s="50">
        <v>5304.6009999999997</v>
      </c>
      <c r="D5" s="12">
        <v>0.155</v>
      </c>
      <c r="E5" s="50">
        <v>665.5</v>
      </c>
      <c r="F5" s="12">
        <v>0.14299999999999999</v>
      </c>
      <c r="G5" s="50">
        <v>1149.329</v>
      </c>
      <c r="H5" s="12">
        <v>0.108</v>
      </c>
      <c r="I5" s="106">
        <v>871</v>
      </c>
      <c r="J5" s="12">
        <v>1E-3</v>
      </c>
      <c r="K5" s="50">
        <v>10.07</v>
      </c>
      <c r="L5" s="12">
        <v>1.6E-2</v>
      </c>
      <c r="M5" s="50">
        <v>128</v>
      </c>
      <c r="N5" s="12">
        <v>1.0720000000000001</v>
      </c>
      <c r="O5" s="50">
        <f t="shared" ref="O5:O9" si="0">SUM(C5,E5,G5,I5,K5,M5)</f>
        <v>8128.4999999999991</v>
      </c>
      <c r="P5" s="45"/>
    </row>
    <row r="6" spans="1:16" ht="31.5" x14ac:dyDescent="0.25">
      <c r="A6" s="15" t="s">
        <v>50</v>
      </c>
      <c r="B6" s="106">
        <v>0.63500000000000001</v>
      </c>
      <c r="C6" s="50">
        <v>5230.68</v>
      </c>
      <c r="D6" s="12">
        <v>0.17</v>
      </c>
      <c r="E6" s="50">
        <v>1429.03</v>
      </c>
      <c r="F6" s="12">
        <v>4.4999999999999998E-2</v>
      </c>
      <c r="G6" s="50">
        <v>380</v>
      </c>
      <c r="H6" s="12">
        <v>0.06</v>
      </c>
      <c r="I6" s="106">
        <v>503.16800000000001</v>
      </c>
      <c r="J6" s="12">
        <v>8.2000000000000003E-2</v>
      </c>
      <c r="K6" s="50">
        <v>689.40300000000002</v>
      </c>
      <c r="L6" s="12">
        <v>3.2000000000000001E-2</v>
      </c>
      <c r="M6" s="50">
        <v>266.81900000000002</v>
      </c>
      <c r="N6" s="12">
        <v>1.024</v>
      </c>
      <c r="O6" s="50">
        <f t="shared" si="0"/>
        <v>8499.0999999999985</v>
      </c>
    </row>
    <row r="7" spans="1:16" ht="31.5" x14ac:dyDescent="0.25">
      <c r="A7" s="15" t="s">
        <v>45</v>
      </c>
      <c r="B7" s="106">
        <v>0.63800000000000001</v>
      </c>
      <c r="C7" s="50">
        <v>4477.18</v>
      </c>
      <c r="D7" s="12">
        <v>0.22700000000000001</v>
      </c>
      <c r="E7" s="50">
        <v>1570.85</v>
      </c>
      <c r="F7" s="12">
        <v>4.0000000000000001E-3</v>
      </c>
      <c r="G7" s="50">
        <v>30.1</v>
      </c>
      <c r="H7" s="12">
        <v>0.124</v>
      </c>
      <c r="I7" s="106">
        <v>855</v>
      </c>
      <c r="J7" s="12">
        <v>0</v>
      </c>
      <c r="K7" s="12">
        <v>0</v>
      </c>
      <c r="L7" s="12">
        <v>7.0000000000000001E-3</v>
      </c>
      <c r="M7" s="50">
        <v>45.17</v>
      </c>
      <c r="N7" s="12">
        <v>1</v>
      </c>
      <c r="O7" s="50">
        <f t="shared" si="0"/>
        <v>6978.3000000000011</v>
      </c>
    </row>
    <row r="8" spans="1:16" ht="31.5" x14ac:dyDescent="0.25">
      <c r="A8" s="15" t="s">
        <v>46</v>
      </c>
      <c r="B8" s="106">
        <v>0.73299999999999998</v>
      </c>
      <c r="C8" s="50">
        <v>4350.2669999999998</v>
      </c>
      <c r="D8" s="12">
        <v>0.13600000000000001</v>
      </c>
      <c r="E8" s="50">
        <v>797.46</v>
      </c>
      <c r="F8" s="12">
        <v>3.9E-2</v>
      </c>
      <c r="G8" s="50">
        <v>225.87299999999999</v>
      </c>
      <c r="H8" s="12">
        <v>7.0999999999999994E-2</v>
      </c>
      <c r="I8" s="106">
        <v>413</v>
      </c>
      <c r="J8" s="12">
        <v>0</v>
      </c>
      <c r="K8" s="50">
        <v>0</v>
      </c>
      <c r="L8" s="12">
        <v>2.1999999999999999E-2</v>
      </c>
      <c r="M8" s="50">
        <v>129.5</v>
      </c>
      <c r="N8" s="12">
        <v>1.0009999999999999</v>
      </c>
      <c r="O8" s="50">
        <f t="shared" si="0"/>
        <v>5916.0999999999995</v>
      </c>
    </row>
    <row r="9" spans="1:16" ht="31.5" x14ac:dyDescent="0.25">
      <c r="A9" s="15" t="s">
        <v>48</v>
      </c>
      <c r="B9" s="106">
        <v>0.78100000000000003</v>
      </c>
      <c r="C9" s="50">
        <v>4910.0129999999999</v>
      </c>
      <c r="D9" s="12">
        <v>0.13600000000000001</v>
      </c>
      <c r="E9" s="50">
        <v>847.48</v>
      </c>
      <c r="F9" s="12">
        <v>0</v>
      </c>
      <c r="G9" s="50">
        <v>0</v>
      </c>
      <c r="H9" s="12">
        <v>7.6999999999999999E-2</v>
      </c>
      <c r="I9" s="106">
        <v>476.50700000000001</v>
      </c>
      <c r="J9" s="12">
        <v>0</v>
      </c>
      <c r="K9" s="50">
        <v>0</v>
      </c>
      <c r="L9" s="12">
        <v>6.0000000000000001E-3</v>
      </c>
      <c r="M9" s="50">
        <v>39</v>
      </c>
      <c r="N9" s="12">
        <v>1</v>
      </c>
      <c r="O9" s="50">
        <f t="shared" si="0"/>
        <v>6273</v>
      </c>
    </row>
    <row r="10" spans="1:16" x14ac:dyDescent="0.25">
      <c r="A10" s="105"/>
      <c r="B10" s="106">
        <v>0.42399999999999999</v>
      </c>
      <c r="C10" s="163">
        <v>44259.178999999996</v>
      </c>
      <c r="D10" s="12">
        <v>0.317</v>
      </c>
      <c r="E10" s="163">
        <v>33073.720999999998</v>
      </c>
      <c r="F10" s="12">
        <v>2.7E-2</v>
      </c>
      <c r="G10" s="163">
        <v>2861.8670000000002</v>
      </c>
      <c r="H10" s="12">
        <v>0.13700000000000001</v>
      </c>
      <c r="I10" s="106">
        <v>14255.135</v>
      </c>
      <c r="J10" s="12">
        <v>8.0000000000000002E-3</v>
      </c>
      <c r="K10" s="163">
        <v>2380.1309999999999</v>
      </c>
      <c r="L10" s="12">
        <v>7.1999999999999995E-2</v>
      </c>
      <c r="M10" s="163">
        <v>7484.0990000000002</v>
      </c>
      <c r="N10" s="106">
        <v>0.98499999999999999</v>
      </c>
      <c r="O10" s="50">
        <f>SUM(O4:O9)</f>
        <v>115357.2</v>
      </c>
    </row>
    <row r="11" spans="1:16" x14ac:dyDescent="0.25">
      <c r="A11" s="108"/>
      <c r="B11" s="109"/>
      <c r="C11" s="109"/>
      <c r="D11" s="109"/>
      <c r="E11" s="109"/>
      <c r="F11" s="109"/>
      <c r="G11" s="109"/>
      <c r="H11" s="109"/>
      <c r="I11" s="117"/>
      <c r="J11" s="109"/>
      <c r="K11" s="109"/>
      <c r="L11" s="109"/>
      <c r="M11" s="109"/>
      <c r="N11" s="109"/>
      <c r="O11" s="110"/>
    </row>
    <row r="12" spans="1:16" x14ac:dyDescent="0.25">
      <c r="A12" s="108"/>
      <c r="B12" s="109"/>
      <c r="C12" s="109"/>
      <c r="D12" s="109"/>
      <c r="E12" s="109"/>
      <c r="F12" s="109"/>
      <c r="G12" s="109"/>
      <c r="H12" s="109"/>
      <c r="I12" s="117"/>
      <c r="J12" s="109"/>
      <c r="K12" s="109"/>
      <c r="L12" s="109"/>
      <c r="M12" s="109"/>
      <c r="N12" s="109"/>
      <c r="O12" s="110"/>
    </row>
    <row r="14" spans="1:16" ht="31.5" x14ac:dyDescent="0.25">
      <c r="A14" s="105"/>
      <c r="B14" s="8"/>
      <c r="C14" s="53" t="s">
        <v>18</v>
      </c>
      <c r="D14" s="53" t="s">
        <v>19</v>
      </c>
      <c r="E14" s="53" t="s">
        <v>20</v>
      </c>
      <c r="F14" s="53" t="s">
        <v>21</v>
      </c>
      <c r="G14" s="53" t="s">
        <v>22</v>
      </c>
      <c r="H14" s="53" t="s">
        <v>23</v>
      </c>
      <c r="I14" s="118"/>
      <c r="N14" s="52"/>
    </row>
    <row r="15" spans="1:16" x14ac:dyDescent="0.25">
      <c r="A15" s="111" t="s">
        <v>59</v>
      </c>
      <c r="B15" s="47">
        <f>SUM(C15:H15)</f>
        <v>6104.1679999999997</v>
      </c>
      <c r="C15" s="46">
        <v>1717.615</v>
      </c>
      <c r="D15" s="46">
        <v>849.96</v>
      </c>
      <c r="E15" s="46">
        <v>936.05700000000002</v>
      </c>
      <c r="F15" s="47">
        <v>837.5</v>
      </c>
      <c r="G15" s="47">
        <v>857.11699999999996</v>
      </c>
      <c r="H15" s="46">
        <v>905.91899999999998</v>
      </c>
      <c r="N15" s="52"/>
    </row>
    <row r="16" spans="1:16" x14ac:dyDescent="0.25">
      <c r="A16" s="111" t="s">
        <v>60</v>
      </c>
      <c r="B16" s="47">
        <f t="shared" ref="B16:B42" si="1">SUM(C16:H16)</f>
        <v>760.5</v>
      </c>
      <c r="C16" s="46">
        <v>760.5</v>
      </c>
      <c r="D16" s="46"/>
      <c r="E16" s="46"/>
      <c r="F16" s="47"/>
      <c r="G16" s="47"/>
      <c r="H16" s="46"/>
      <c r="N16" s="52"/>
    </row>
    <row r="17" spans="1:14" x14ac:dyDescent="0.25">
      <c r="A17" s="111" t="s">
        <v>61</v>
      </c>
      <c r="B17" s="47">
        <f t="shared" si="1"/>
        <v>32817.332999999999</v>
      </c>
      <c r="C17" s="46">
        <v>15506.797</v>
      </c>
      <c r="D17" s="46">
        <v>3950.183</v>
      </c>
      <c r="E17" s="46">
        <v>3809.18</v>
      </c>
      <c r="F17" s="47">
        <v>3140.6750000000002</v>
      </c>
      <c r="G17" s="47">
        <v>3076.1280000000002</v>
      </c>
      <c r="H17" s="46">
        <v>3334.37</v>
      </c>
      <c r="N17" s="52"/>
    </row>
    <row r="18" spans="1:14" x14ac:dyDescent="0.25">
      <c r="A18" s="111" t="s">
        <v>134</v>
      </c>
      <c r="B18" s="47">
        <f t="shared" si="1"/>
        <v>219.607</v>
      </c>
      <c r="C18" s="46">
        <v>219.607</v>
      </c>
      <c r="D18" s="46"/>
      <c r="E18" s="46"/>
      <c r="F18" s="47"/>
      <c r="G18" s="47"/>
      <c r="H18" s="46"/>
      <c r="N18" s="52"/>
    </row>
    <row r="19" spans="1:14" x14ac:dyDescent="0.25">
      <c r="A19" s="111" t="s">
        <v>62</v>
      </c>
      <c r="B19" s="47">
        <f t="shared" si="1"/>
        <v>1108.4110000000001</v>
      </c>
      <c r="C19" s="46">
        <v>759.41099999999994</v>
      </c>
      <c r="D19" s="47">
        <v>82</v>
      </c>
      <c r="E19" s="47">
        <v>80</v>
      </c>
      <c r="F19" s="47">
        <v>66</v>
      </c>
      <c r="G19" s="47">
        <v>60.6</v>
      </c>
      <c r="H19" s="47">
        <v>60.4</v>
      </c>
      <c r="I19" s="55"/>
      <c r="N19" s="52"/>
    </row>
    <row r="20" spans="1:14" x14ac:dyDescent="0.25">
      <c r="A20" s="112" t="s">
        <v>63</v>
      </c>
      <c r="B20" s="48">
        <f>SUM(B15:B19)</f>
        <v>41010.019</v>
      </c>
      <c r="C20" s="48">
        <f t="shared" ref="C20:H20" si="2">SUM(C15:C19)</f>
        <v>18963.93</v>
      </c>
      <c r="D20" s="48">
        <f t="shared" si="2"/>
        <v>4882.143</v>
      </c>
      <c r="E20" s="48">
        <f t="shared" si="2"/>
        <v>4825.2370000000001</v>
      </c>
      <c r="F20" s="48">
        <f t="shared" si="2"/>
        <v>4044.1750000000002</v>
      </c>
      <c r="G20" s="48">
        <f t="shared" si="2"/>
        <v>3993.8449999999998</v>
      </c>
      <c r="H20" s="48">
        <f t="shared" si="2"/>
        <v>4300.6889999999994</v>
      </c>
      <c r="I20" s="55"/>
    </row>
    <row r="21" spans="1:14" x14ac:dyDescent="0.25">
      <c r="A21" s="111" t="s">
        <v>136</v>
      </c>
      <c r="B21" s="47">
        <f t="shared" si="1"/>
        <v>20468.489999999998</v>
      </c>
      <c r="C21" s="46">
        <v>15628.8</v>
      </c>
      <c r="D21" s="47">
        <v>1050.5999999999999</v>
      </c>
      <c r="E21" s="47">
        <v>1064.5</v>
      </c>
      <c r="F21" s="47">
        <v>1269</v>
      </c>
      <c r="G21" s="47">
        <v>750.29</v>
      </c>
      <c r="H21" s="47">
        <v>705.3</v>
      </c>
      <c r="I21" s="55"/>
    </row>
    <row r="22" spans="1:14" x14ac:dyDescent="0.25">
      <c r="A22" s="111" t="s">
        <v>135</v>
      </c>
      <c r="B22" s="47">
        <f t="shared" si="1"/>
        <v>20</v>
      </c>
      <c r="C22" s="46"/>
      <c r="D22" s="47"/>
      <c r="E22" s="47">
        <v>20</v>
      </c>
      <c r="F22" s="47"/>
      <c r="G22" s="47"/>
      <c r="H22" s="47"/>
      <c r="I22" s="55"/>
    </row>
    <row r="23" spans="1:14" x14ac:dyDescent="0.25">
      <c r="A23" s="111" t="s">
        <v>64</v>
      </c>
      <c r="B23" s="47">
        <f t="shared" si="1"/>
        <v>5139.058</v>
      </c>
      <c r="C23" s="47">
        <v>5041.058</v>
      </c>
      <c r="D23" s="47">
        <v>34</v>
      </c>
      <c r="E23" s="47">
        <v>34</v>
      </c>
      <c r="F23" s="47">
        <v>17</v>
      </c>
      <c r="G23" s="47">
        <v>13</v>
      </c>
      <c r="H23" s="47"/>
      <c r="I23" s="55"/>
    </row>
    <row r="24" spans="1:14" x14ac:dyDescent="0.25">
      <c r="A24" s="112" t="s">
        <v>65</v>
      </c>
      <c r="B24" s="48">
        <f>SUM(B21:B23)</f>
        <v>25627.547999999999</v>
      </c>
      <c r="C24" s="48">
        <f t="shared" ref="C24:H24" si="3">SUM(C21:C23)</f>
        <v>20669.858</v>
      </c>
      <c r="D24" s="48">
        <f t="shared" si="3"/>
        <v>1084.5999999999999</v>
      </c>
      <c r="E24" s="48">
        <f t="shared" si="3"/>
        <v>1118.5</v>
      </c>
      <c r="F24" s="48">
        <f t="shared" si="3"/>
        <v>1286</v>
      </c>
      <c r="G24" s="48">
        <f t="shared" si="3"/>
        <v>763.29</v>
      </c>
      <c r="H24" s="48">
        <f t="shared" si="3"/>
        <v>705.3</v>
      </c>
      <c r="I24" s="55"/>
    </row>
    <row r="25" spans="1:14" x14ac:dyDescent="0.25">
      <c r="A25" s="111" t="s">
        <v>66</v>
      </c>
      <c r="B25" s="47">
        <f t="shared" si="1"/>
        <v>2600.337</v>
      </c>
      <c r="C25" s="46">
        <v>2187.0340000000001</v>
      </c>
      <c r="D25" s="47">
        <v>33</v>
      </c>
      <c r="E25" s="47">
        <v>380</v>
      </c>
      <c r="F25" s="47"/>
      <c r="G25" s="47">
        <v>0.30299999999999999</v>
      </c>
      <c r="H25" s="47"/>
      <c r="I25" s="55"/>
    </row>
    <row r="26" spans="1:14" x14ac:dyDescent="0.25">
      <c r="A26" s="112" t="s">
        <v>67</v>
      </c>
      <c r="B26" s="48">
        <f t="shared" si="1"/>
        <v>2600.337</v>
      </c>
      <c r="C26" s="48">
        <f>C25</f>
        <v>2187.0340000000001</v>
      </c>
      <c r="D26" s="48">
        <f t="shared" ref="D26:H26" si="4">D25</f>
        <v>33</v>
      </c>
      <c r="E26" s="48">
        <f t="shared" si="4"/>
        <v>380</v>
      </c>
      <c r="F26" s="48">
        <f t="shared" si="4"/>
        <v>0</v>
      </c>
      <c r="G26" s="48">
        <f t="shared" si="4"/>
        <v>0.30299999999999999</v>
      </c>
      <c r="H26" s="48">
        <f t="shared" si="4"/>
        <v>0</v>
      </c>
      <c r="I26" s="55"/>
    </row>
    <row r="27" spans="1:14" x14ac:dyDescent="0.25">
      <c r="A27" s="113" t="s">
        <v>131</v>
      </c>
      <c r="B27" s="49">
        <f t="shared" si="1"/>
        <v>2029</v>
      </c>
      <c r="C27" s="46">
        <v>2029</v>
      </c>
      <c r="D27" s="46"/>
      <c r="E27" s="46"/>
      <c r="F27" s="46"/>
      <c r="G27" s="46"/>
      <c r="H27" s="46"/>
      <c r="I27" s="55"/>
    </row>
    <row r="28" spans="1:14" x14ac:dyDescent="0.25">
      <c r="A28" s="113" t="s">
        <v>124</v>
      </c>
      <c r="B28" s="49">
        <f t="shared" si="1"/>
        <v>4487</v>
      </c>
      <c r="C28" s="46">
        <v>2228</v>
      </c>
      <c r="D28" s="46">
        <v>598</v>
      </c>
      <c r="E28" s="46">
        <v>651</v>
      </c>
      <c r="F28" s="46">
        <v>434</v>
      </c>
      <c r="G28" s="46">
        <v>268</v>
      </c>
      <c r="H28" s="46">
        <v>308</v>
      </c>
      <c r="I28" s="55"/>
      <c r="J28" s="52"/>
    </row>
    <row r="29" spans="1:14" x14ac:dyDescent="0.25">
      <c r="A29" s="111" t="s">
        <v>51</v>
      </c>
      <c r="B29" s="47">
        <f t="shared" si="1"/>
        <v>6293.5779999999995</v>
      </c>
      <c r="C29" s="46">
        <v>5310.7550000000001</v>
      </c>
      <c r="D29" s="47">
        <v>276</v>
      </c>
      <c r="E29" s="47">
        <v>283.76600000000002</v>
      </c>
      <c r="F29" s="47">
        <v>290</v>
      </c>
      <c r="G29" s="47">
        <v>109.697</v>
      </c>
      <c r="H29" s="47">
        <v>23.36</v>
      </c>
      <c r="I29" s="55"/>
    </row>
    <row r="30" spans="1:14" x14ac:dyDescent="0.25">
      <c r="A30" s="112" t="s">
        <v>68</v>
      </c>
      <c r="B30" s="48">
        <f t="shared" ref="B30:H30" si="5">SUM(B27:B29)</f>
        <v>12809.578</v>
      </c>
      <c r="C30" s="48">
        <f t="shared" si="5"/>
        <v>9567.755000000001</v>
      </c>
      <c r="D30" s="48">
        <f t="shared" si="5"/>
        <v>874</v>
      </c>
      <c r="E30" s="48">
        <f t="shared" si="5"/>
        <v>934.76600000000008</v>
      </c>
      <c r="F30" s="48">
        <f t="shared" si="5"/>
        <v>724</v>
      </c>
      <c r="G30" s="48">
        <f t="shared" si="5"/>
        <v>377.697</v>
      </c>
      <c r="H30" s="48">
        <f t="shared" si="5"/>
        <v>331.36</v>
      </c>
      <c r="I30" s="55"/>
    </row>
    <row r="31" spans="1:14" x14ac:dyDescent="0.25">
      <c r="A31" s="111" t="s">
        <v>69</v>
      </c>
      <c r="B31" s="47">
        <f t="shared" si="1"/>
        <v>675.80500000000006</v>
      </c>
      <c r="C31" s="46">
        <v>648.80799999999999</v>
      </c>
      <c r="D31" s="47">
        <v>17.931000000000001</v>
      </c>
      <c r="E31" s="47">
        <v>9.0660000000000007</v>
      </c>
      <c r="F31" s="47"/>
      <c r="G31" s="47"/>
      <c r="H31" s="47"/>
      <c r="I31" s="55"/>
    </row>
    <row r="32" spans="1:14" x14ac:dyDescent="0.25">
      <c r="A32" s="112" t="s">
        <v>70</v>
      </c>
      <c r="B32" s="48">
        <f t="shared" ref="B32:H32" si="6">B31</f>
        <v>675.80500000000006</v>
      </c>
      <c r="C32" s="48">
        <f t="shared" si="6"/>
        <v>648.80799999999999</v>
      </c>
      <c r="D32" s="48">
        <f t="shared" si="6"/>
        <v>17.931000000000001</v>
      </c>
      <c r="E32" s="48">
        <f t="shared" si="6"/>
        <v>9.0660000000000007</v>
      </c>
      <c r="F32" s="48">
        <f t="shared" si="6"/>
        <v>0</v>
      </c>
      <c r="G32" s="48">
        <f t="shared" si="6"/>
        <v>0</v>
      </c>
      <c r="H32" s="48">
        <f t="shared" si="6"/>
        <v>0</v>
      </c>
      <c r="I32" s="55"/>
    </row>
    <row r="33" spans="1:14" x14ac:dyDescent="0.25">
      <c r="A33" s="111" t="s">
        <v>71</v>
      </c>
      <c r="B33" s="47">
        <f t="shared" si="1"/>
        <v>1065</v>
      </c>
      <c r="C33" s="46">
        <v>600</v>
      </c>
      <c r="D33" s="46">
        <v>350</v>
      </c>
      <c r="E33" s="46">
        <v>65</v>
      </c>
      <c r="F33" s="47">
        <v>25</v>
      </c>
      <c r="G33" s="47">
        <v>15</v>
      </c>
      <c r="H33" s="47">
        <v>10</v>
      </c>
      <c r="I33" s="55"/>
    </row>
    <row r="34" spans="1:14" x14ac:dyDescent="0.25">
      <c r="A34" s="111" t="s">
        <v>72</v>
      </c>
      <c r="B34" s="47">
        <f t="shared" si="1"/>
        <v>4530.8359999999993</v>
      </c>
      <c r="C34" s="46">
        <v>4302.4229999999998</v>
      </c>
      <c r="D34" s="46">
        <v>48</v>
      </c>
      <c r="E34" s="46">
        <v>83.546999999999997</v>
      </c>
      <c r="F34" s="47">
        <v>15.481999999999999</v>
      </c>
      <c r="G34" s="47">
        <v>61.8</v>
      </c>
      <c r="H34" s="47">
        <v>19.584</v>
      </c>
      <c r="I34" s="55"/>
    </row>
    <row r="35" spans="1:14" x14ac:dyDescent="0.25">
      <c r="A35" s="111" t="s">
        <v>125</v>
      </c>
      <c r="B35" s="47">
        <f t="shared" si="1"/>
        <v>20</v>
      </c>
      <c r="C35" s="46"/>
      <c r="D35" s="46">
        <v>20</v>
      </c>
      <c r="E35" s="46"/>
      <c r="F35" s="47"/>
      <c r="G35" s="47"/>
      <c r="H35" s="47"/>
      <c r="I35" s="55"/>
    </row>
    <row r="36" spans="1:14" x14ac:dyDescent="0.25">
      <c r="A36" s="111" t="s">
        <v>78</v>
      </c>
      <c r="B36" s="47">
        <f t="shared" si="1"/>
        <v>178</v>
      </c>
      <c r="C36" s="46">
        <v>130</v>
      </c>
      <c r="D36" s="46">
        <v>3</v>
      </c>
      <c r="E36" s="46">
        <v>45</v>
      </c>
      <c r="F36" s="47"/>
      <c r="G36" s="47"/>
      <c r="H36" s="47"/>
      <c r="I36" s="55"/>
    </row>
    <row r="37" spans="1:14" x14ac:dyDescent="0.25">
      <c r="A37" s="111" t="s">
        <v>73</v>
      </c>
      <c r="B37" s="47">
        <f t="shared" si="1"/>
        <v>0</v>
      </c>
      <c r="C37" s="47"/>
      <c r="D37" s="47"/>
      <c r="E37" s="47"/>
      <c r="F37" s="47"/>
      <c r="G37" s="47"/>
      <c r="H37" s="47"/>
      <c r="I37" s="55"/>
    </row>
    <row r="38" spans="1:14" x14ac:dyDescent="0.25">
      <c r="A38" s="111" t="s">
        <v>126</v>
      </c>
      <c r="B38" s="47">
        <f t="shared" si="1"/>
        <v>0</v>
      </c>
      <c r="C38" s="47"/>
      <c r="D38" s="47"/>
      <c r="E38" s="47"/>
      <c r="F38" s="47"/>
      <c r="G38" s="47"/>
      <c r="H38" s="47"/>
      <c r="I38" s="55"/>
    </row>
    <row r="39" spans="1:14" x14ac:dyDescent="0.25">
      <c r="A39" s="111" t="s">
        <v>74</v>
      </c>
      <c r="B39" s="47">
        <f t="shared" si="1"/>
        <v>304</v>
      </c>
      <c r="C39" s="46">
        <v>160</v>
      </c>
      <c r="D39" s="47"/>
      <c r="E39" s="47"/>
      <c r="F39" s="47"/>
      <c r="G39" s="47">
        <v>144</v>
      </c>
      <c r="H39" s="47"/>
      <c r="I39" s="55"/>
    </row>
    <row r="40" spans="1:14" x14ac:dyDescent="0.25">
      <c r="A40" s="111" t="s">
        <v>127</v>
      </c>
      <c r="B40" s="47">
        <f t="shared" si="1"/>
        <v>0</v>
      </c>
      <c r="C40" s="46"/>
      <c r="D40" s="47"/>
      <c r="E40" s="47"/>
      <c r="F40" s="47"/>
      <c r="G40" s="47"/>
      <c r="H40" s="47"/>
      <c r="I40" s="55"/>
      <c r="K40" s="45"/>
    </row>
    <row r="41" spans="1:14" x14ac:dyDescent="0.25">
      <c r="A41" s="111" t="s">
        <v>75</v>
      </c>
      <c r="B41" s="47">
        <f t="shared" si="1"/>
        <v>1084.758</v>
      </c>
      <c r="C41" s="46">
        <v>895.39300000000003</v>
      </c>
      <c r="D41" s="47">
        <v>62</v>
      </c>
      <c r="E41" s="47">
        <v>80</v>
      </c>
      <c r="F41" s="47">
        <v>16.364999999999998</v>
      </c>
      <c r="G41" s="47">
        <v>21</v>
      </c>
      <c r="H41" s="47">
        <v>10</v>
      </c>
      <c r="I41" s="55"/>
      <c r="K41" s="45"/>
    </row>
    <row r="42" spans="1:14" ht="18.75" x14ac:dyDescent="0.3">
      <c r="A42" s="111" t="s">
        <v>76</v>
      </c>
      <c r="B42" s="47">
        <f t="shared" si="1"/>
        <v>750</v>
      </c>
      <c r="C42" s="47">
        <v>750</v>
      </c>
      <c r="D42" s="47"/>
      <c r="E42" s="47"/>
      <c r="F42" s="47"/>
      <c r="G42" s="47"/>
      <c r="H42" s="47"/>
      <c r="I42" s="55"/>
      <c r="K42" s="119"/>
    </row>
    <row r="43" spans="1:14" ht="18.75" x14ac:dyDescent="0.3">
      <c r="A43" s="112" t="s">
        <v>77</v>
      </c>
      <c r="B43" s="48">
        <f>SUM(C43:H43)</f>
        <v>7932.5939999999991</v>
      </c>
      <c r="C43" s="48">
        <f t="shared" ref="C43:H43" si="7">SUM(C33:C42)</f>
        <v>6837.8159999999998</v>
      </c>
      <c r="D43" s="48">
        <f t="shared" si="7"/>
        <v>483</v>
      </c>
      <c r="E43" s="48">
        <f t="shared" si="7"/>
        <v>273.54700000000003</v>
      </c>
      <c r="F43" s="48">
        <f t="shared" si="7"/>
        <v>56.846999999999994</v>
      </c>
      <c r="G43" s="48">
        <f t="shared" si="7"/>
        <v>241.8</v>
      </c>
      <c r="H43" s="48">
        <f t="shared" si="7"/>
        <v>39.584000000000003</v>
      </c>
      <c r="I43" s="55"/>
      <c r="K43" s="119"/>
    </row>
    <row r="44" spans="1:14" ht="18.75" x14ac:dyDescent="0.3">
      <c r="A44" s="111" t="s">
        <v>132</v>
      </c>
      <c r="B44" s="47">
        <f t="shared" ref="B44:H44" si="8">SUM(B43,B32,B30,B26,B24,B20)</f>
        <v>90655.880999999994</v>
      </c>
      <c r="C44" s="47">
        <f t="shared" si="8"/>
        <v>58875.201000000001</v>
      </c>
      <c r="D44" s="47">
        <f t="shared" si="8"/>
        <v>7374.674</v>
      </c>
      <c r="E44" s="47">
        <f t="shared" si="8"/>
        <v>7541.116</v>
      </c>
      <c r="F44" s="47">
        <f t="shared" si="8"/>
        <v>6111.0219999999999</v>
      </c>
      <c r="G44" s="47">
        <f t="shared" si="8"/>
        <v>5376.9349999999995</v>
      </c>
      <c r="H44" s="47">
        <f t="shared" si="8"/>
        <v>5376.9329999999991</v>
      </c>
      <c r="I44" s="55"/>
      <c r="K44" s="119"/>
    </row>
    <row r="45" spans="1:14" x14ac:dyDescent="0.25">
      <c r="A45" s="114"/>
      <c r="B45" s="52"/>
    </row>
    <row r="46" spans="1:14" x14ac:dyDescent="0.25">
      <c r="A46" s="114"/>
    </row>
    <row r="47" spans="1:14" x14ac:dyDescent="0.25">
      <c r="A47" s="114"/>
      <c r="N47" s="31"/>
    </row>
    <row r="48" spans="1:14" x14ac:dyDescent="0.25">
      <c r="A48" s="114"/>
    </row>
    <row r="49" spans="1:1" x14ac:dyDescent="0.25">
      <c r="A49" s="114"/>
    </row>
    <row r="50" spans="1:1" x14ac:dyDescent="0.25">
      <c r="A50" s="114"/>
    </row>
    <row r="51" spans="1:1" x14ac:dyDescent="0.25">
      <c r="A51" s="114"/>
    </row>
    <row r="52" spans="1:1" x14ac:dyDescent="0.25">
      <c r="A52" s="114"/>
    </row>
    <row r="53" spans="1:1" x14ac:dyDescent="0.25">
      <c r="A53" s="114"/>
    </row>
    <row r="54" spans="1:1" x14ac:dyDescent="0.25">
      <c r="A54" s="114"/>
    </row>
    <row r="55" spans="1:1" x14ac:dyDescent="0.25">
      <c r="A55" s="114"/>
    </row>
    <row r="56" spans="1:1" x14ac:dyDescent="0.25">
      <c r="A56" s="114"/>
    </row>
    <row r="57" spans="1:1" x14ac:dyDescent="0.25">
      <c r="A57" s="114"/>
    </row>
    <row r="58" spans="1:1" x14ac:dyDescent="0.25">
      <c r="A58" s="114"/>
    </row>
  </sheetData>
  <mergeCells count="7">
    <mergeCell ref="J2:K2"/>
    <mergeCell ref="L2:M2"/>
    <mergeCell ref="N2:O2"/>
    <mergeCell ref="B2:C2"/>
    <mergeCell ref="D2:E2"/>
    <mergeCell ref="F2:G2"/>
    <mergeCell ref="H2:I2"/>
  </mergeCells>
  <pageMargins left="0.51181102362204722" right="0.31496062992125984" top="0.35433070866141736" bottom="0.35433070866141736" header="0.11811023622047245" footer="0.11811023622047245"/>
  <pageSetup paperSize="9" scale="63" firstPageNumber="127" orientation="landscape" useFirstPageNumber="1" r:id="rId1"/>
  <headerFooter>
    <oddFooter>&amp;C&amp;P</oddFooter>
  </headerFooter>
  <rowBreaks count="1" manualBreakCount="1">
    <brk id="11" max="14" man="1"/>
  </rowBreaks>
  <colBreaks count="1" manualBreakCount="1">
    <brk id="15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zoomScaleNormal="100" workbookViewId="0">
      <selection activeCell="F5" sqref="F5"/>
    </sheetView>
  </sheetViews>
  <sheetFormatPr defaultRowHeight="15.75" x14ac:dyDescent="0.25"/>
  <cols>
    <col min="1" max="1" width="19.28515625" style="54" customWidth="1"/>
    <col min="2" max="2" width="10.85546875" style="55" customWidth="1"/>
    <col min="3" max="3" width="15" style="54" customWidth="1"/>
    <col min="4" max="4" width="10" style="54" customWidth="1"/>
    <col min="5" max="5" width="9.85546875" style="54" customWidth="1"/>
    <col min="6" max="6" width="9" style="54" customWidth="1"/>
    <col min="7" max="7" width="10.28515625" style="54" customWidth="1"/>
    <col min="8" max="8" width="11.140625" style="54" customWidth="1"/>
    <col min="9" max="9" width="10.42578125" style="54" customWidth="1"/>
    <col min="10" max="10" width="9.7109375" style="54" customWidth="1"/>
    <col min="11" max="11" width="8.7109375" style="54" customWidth="1"/>
    <col min="12" max="12" width="10.140625" style="54" customWidth="1"/>
    <col min="13" max="13" width="15.28515625" style="54" customWidth="1"/>
    <col min="14" max="14" width="10" style="54" customWidth="1"/>
    <col min="15" max="15" width="10.7109375" style="54" customWidth="1"/>
    <col min="16" max="16" width="10.5703125" style="54" customWidth="1"/>
    <col min="17" max="17" width="11.140625" style="54" customWidth="1"/>
    <col min="18" max="18" width="10.42578125" style="54" customWidth="1"/>
    <col min="19" max="19" width="13" style="54" customWidth="1"/>
    <col min="20" max="20" width="10.28515625" style="54" customWidth="1"/>
    <col min="21" max="21" width="10.85546875" style="54" customWidth="1"/>
    <col min="22" max="22" width="16.140625" style="54" customWidth="1"/>
    <col min="23" max="23" width="9.7109375" style="54" customWidth="1"/>
    <col min="24" max="24" width="12" style="54" customWidth="1"/>
    <col min="25" max="25" width="16.5703125" style="54" customWidth="1"/>
    <col min="26" max="16384" width="9.140625" style="54"/>
  </cols>
  <sheetData>
    <row r="1" spans="1:26" x14ac:dyDescent="0.25">
      <c r="E1" s="186" t="s">
        <v>0</v>
      </c>
      <c r="F1" s="186"/>
      <c r="G1" s="186"/>
    </row>
    <row r="2" spans="1:26" x14ac:dyDescent="0.25">
      <c r="C2" s="186" t="s">
        <v>168</v>
      </c>
      <c r="D2" s="186"/>
      <c r="E2" s="186"/>
      <c r="F2" s="186"/>
      <c r="G2" s="186"/>
      <c r="H2" s="186"/>
      <c r="I2" s="186"/>
    </row>
    <row r="4" spans="1:26" ht="97.5" customHeight="1" x14ac:dyDescent="0.25">
      <c r="A4" s="184" t="s">
        <v>1</v>
      </c>
      <c r="B4" s="181" t="s">
        <v>2</v>
      </c>
      <c r="C4" s="182"/>
      <c r="D4" s="182"/>
      <c r="E4" s="182"/>
      <c r="F4" s="183"/>
      <c r="G4" s="187" t="s">
        <v>7</v>
      </c>
      <c r="H4" s="182"/>
      <c r="I4" s="182"/>
      <c r="J4" s="182"/>
      <c r="K4" s="183"/>
      <c r="L4" s="181" t="s">
        <v>9</v>
      </c>
      <c r="M4" s="182"/>
      <c r="N4" s="183"/>
      <c r="O4" s="188" t="s">
        <v>10</v>
      </c>
      <c r="P4" s="189"/>
      <c r="Q4" s="189"/>
      <c r="R4" s="181" t="s">
        <v>12</v>
      </c>
      <c r="S4" s="182"/>
      <c r="T4" s="183"/>
      <c r="U4" s="181" t="s">
        <v>14</v>
      </c>
      <c r="V4" s="182"/>
      <c r="W4" s="182"/>
      <c r="X4" s="183"/>
      <c r="Y4" s="184" t="s">
        <v>16</v>
      </c>
    </row>
    <row r="5" spans="1:26" ht="90.75" customHeight="1" x14ac:dyDescent="0.25">
      <c r="A5" s="185"/>
      <c r="B5" s="56" t="s">
        <v>3</v>
      </c>
      <c r="C5" s="57" t="s">
        <v>4</v>
      </c>
      <c r="D5" s="58" t="s">
        <v>5</v>
      </c>
      <c r="E5" s="58" t="s">
        <v>6</v>
      </c>
      <c r="F5" s="57" t="s">
        <v>52</v>
      </c>
      <c r="G5" s="57" t="s">
        <v>3</v>
      </c>
      <c r="H5" s="57" t="s">
        <v>4</v>
      </c>
      <c r="I5" s="58" t="s">
        <v>5</v>
      </c>
      <c r="J5" s="58" t="s">
        <v>8</v>
      </c>
      <c r="K5" s="57" t="s">
        <v>52</v>
      </c>
      <c r="L5" s="57" t="s">
        <v>3</v>
      </c>
      <c r="M5" s="57" t="s">
        <v>4</v>
      </c>
      <c r="N5" s="57" t="s">
        <v>52</v>
      </c>
      <c r="O5" s="57" t="s">
        <v>3</v>
      </c>
      <c r="P5" s="58" t="s">
        <v>11</v>
      </c>
      <c r="Q5" s="57" t="s">
        <v>52</v>
      </c>
      <c r="R5" s="57" t="s">
        <v>3</v>
      </c>
      <c r="S5" s="58" t="s">
        <v>13</v>
      </c>
      <c r="T5" s="57" t="s">
        <v>52</v>
      </c>
      <c r="U5" s="57" t="s">
        <v>3</v>
      </c>
      <c r="V5" s="58" t="s">
        <v>15</v>
      </c>
      <c r="W5" s="58" t="s">
        <v>8</v>
      </c>
      <c r="X5" s="57" t="s">
        <v>52</v>
      </c>
      <c r="Y5" s="185"/>
    </row>
    <row r="6" spans="1:26" x14ac:dyDescent="0.25">
      <c r="A6" s="59">
        <v>1</v>
      </c>
      <c r="B6" s="60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59">
        <v>9</v>
      </c>
      <c r="J6" s="59">
        <v>10</v>
      </c>
      <c r="K6" s="59">
        <v>11</v>
      </c>
      <c r="L6" s="59">
        <v>12</v>
      </c>
      <c r="M6" s="59">
        <v>13</v>
      </c>
      <c r="N6" s="59">
        <v>14</v>
      </c>
      <c r="O6" s="59">
        <v>15</v>
      </c>
      <c r="P6" s="59">
        <v>16</v>
      </c>
      <c r="Q6" s="59">
        <v>17</v>
      </c>
      <c r="R6" s="59">
        <v>18</v>
      </c>
      <c r="S6" s="59">
        <v>19</v>
      </c>
      <c r="T6" s="59">
        <v>20</v>
      </c>
      <c r="U6" s="59">
        <v>21</v>
      </c>
      <c r="V6" s="59">
        <v>22</v>
      </c>
      <c r="W6" s="59">
        <v>23</v>
      </c>
      <c r="X6" s="59">
        <v>24</v>
      </c>
      <c r="Y6" s="59">
        <v>25</v>
      </c>
    </row>
    <row r="7" spans="1:26" ht="30.75" customHeight="1" x14ac:dyDescent="0.25">
      <c r="A7" s="61" t="s">
        <v>18</v>
      </c>
      <c r="B7" s="62">
        <f>'127 удельный вес расходов'!B4</f>
        <v>0.29499999999999998</v>
      </c>
      <c r="C7" s="62">
        <f>'118 коэф. на удорож стои ЖКУ'!C6</f>
        <v>0.82599999999999996</v>
      </c>
      <c r="D7" s="62">
        <f>'119 Коэф. дифферен-ии зар. пла'!H7</f>
        <v>1.0099736243281598</v>
      </c>
      <c r="E7" s="62">
        <f>'122.коэф. транспортной доступ'!H6</f>
        <v>0.35499999999999998</v>
      </c>
      <c r="F7" s="62">
        <f t="shared" ref="F7:F13" si="0">ROUND(B7*C7*D7*E7,3)</f>
        <v>8.6999999999999994E-2</v>
      </c>
      <c r="G7" s="62">
        <f>'127 удельный вес расходов'!D4</f>
        <v>0.36</v>
      </c>
      <c r="H7" s="62">
        <f>'118 коэф. на удорож стои ЖКУ'!C6</f>
        <v>0.82599999999999996</v>
      </c>
      <c r="I7" s="62">
        <f>'119 Коэф. дифферен-ии зар. пла'!H7</f>
        <v>1.0099736243281598</v>
      </c>
      <c r="J7" s="62">
        <f>'123 коэф урбанизации'!E6</f>
        <v>1</v>
      </c>
      <c r="K7" s="62">
        <f>ROUND(G7*H7*I7*J7,3)</f>
        <v>0.3</v>
      </c>
      <c r="L7" s="62">
        <f>'127 удельный вес расходов'!F4</f>
        <v>1.6E-2</v>
      </c>
      <c r="M7" s="62">
        <f>'118 коэф. на удорож стои ЖКУ'!C6</f>
        <v>0.82599999999999996</v>
      </c>
      <c r="N7" s="62">
        <f>ROUND(L7*M7,3)</f>
        <v>1.2999999999999999E-2</v>
      </c>
      <c r="O7" s="62">
        <f>'127 удельный вес расходов'!H4</f>
        <v>0.16200000000000001</v>
      </c>
      <c r="P7" s="62">
        <f>'124 коэф. благоустройства'!H5</f>
        <v>3.2038823650450956</v>
      </c>
      <c r="Q7" s="62">
        <f>ROUND(O7*P7,3)</f>
        <v>0.51900000000000002</v>
      </c>
      <c r="R7" s="62">
        <f>'127 удельный вес расходов'!J4</f>
        <v>2.4E-2</v>
      </c>
      <c r="S7" s="62">
        <f>'125 структ жил фонда'!F8</f>
        <v>0.46200000000000002</v>
      </c>
      <c r="T7" s="62">
        <f>ROUND(R7*S7,3)</f>
        <v>1.0999999999999999E-2</v>
      </c>
      <c r="U7" s="62">
        <f>'127 удельный вес расходов'!L4</f>
        <v>0.1</v>
      </c>
      <c r="V7" s="62">
        <f>'126 коэф. концентр населения'!D8</f>
        <v>1.01</v>
      </c>
      <c r="W7" s="62">
        <f>'123 коэф урбанизации'!E6</f>
        <v>1</v>
      </c>
      <c r="X7" s="62">
        <f>ROUND(U7*V7*W7,3)</f>
        <v>0.10100000000000001</v>
      </c>
      <c r="Y7" s="62">
        <f>ROUND(F7+K7+N7+Q7+T7+X7,3)</f>
        <v>1.0309999999999999</v>
      </c>
    </row>
    <row r="8" spans="1:26" ht="33.75" customHeight="1" x14ac:dyDescent="0.25">
      <c r="A8" s="61" t="s">
        <v>19</v>
      </c>
      <c r="B8" s="62">
        <f>'127 удельный вес расходов'!B5</f>
        <v>0.64900000000000002</v>
      </c>
      <c r="C8" s="62">
        <f>'118 коэф. на удорож стои ЖКУ'!C7</f>
        <v>1.2929999999999999</v>
      </c>
      <c r="D8" s="62">
        <f>'119 Коэф. дифферен-ии зар. пла'!H8</f>
        <v>2.0008166598611683</v>
      </c>
      <c r="E8" s="62">
        <f>'122.коэф. транспортной доступ'!H7</f>
        <v>0.75327225130890052</v>
      </c>
      <c r="F8" s="62">
        <f t="shared" si="0"/>
        <v>1.2649999999999999</v>
      </c>
      <c r="G8" s="62">
        <f>'127 удельный вес расходов'!D5</f>
        <v>0.155</v>
      </c>
      <c r="H8" s="62">
        <f>'118 коэф. на удорож стои ЖКУ'!C7</f>
        <v>1.2929999999999999</v>
      </c>
      <c r="I8" s="62">
        <f>'119 Коэф. дифферен-ии зар. пла'!H8</f>
        <v>2.0008166598611683</v>
      </c>
      <c r="J8" s="62">
        <f>'123 коэф урбанизации'!E7</f>
        <v>1</v>
      </c>
      <c r="K8" s="62">
        <f t="shared" ref="K8:K13" si="1">ROUND(G8*H8*I8*J8,3)</f>
        <v>0.40100000000000002</v>
      </c>
      <c r="L8" s="62">
        <f>'127 удельный вес расходов'!F5</f>
        <v>0.14299999999999999</v>
      </c>
      <c r="M8" s="62">
        <f>'118 коэф. на удорож стои ЖКУ'!C7</f>
        <v>1.2929999999999999</v>
      </c>
      <c r="N8" s="62">
        <f t="shared" ref="N8:N13" si="2">ROUND(L8*M8,3)</f>
        <v>0.185</v>
      </c>
      <c r="O8" s="62">
        <f>'127 удельный вес расходов'!H5</f>
        <v>0.108</v>
      </c>
      <c r="P8" s="62">
        <f>'124 коэф. благоустройства'!H6</f>
        <v>1.4088667306923417</v>
      </c>
      <c r="Q8" s="62">
        <f t="shared" ref="Q8:Q13" si="3">ROUND(O8*P8,3)</f>
        <v>0.152</v>
      </c>
      <c r="R8" s="62">
        <f>'127 удельный вес расходов'!J5</f>
        <v>1E-3</v>
      </c>
      <c r="S8" s="62">
        <f>'125 структ жил фонда'!F9</f>
        <v>1.198</v>
      </c>
      <c r="T8" s="62">
        <f t="shared" ref="T8:T13" si="4">ROUND(R8*S8,3)</f>
        <v>1E-3</v>
      </c>
      <c r="U8" s="62">
        <f>'127 удельный вес расходов'!L5</f>
        <v>1.6E-2</v>
      </c>
      <c r="V8" s="62">
        <f>'126 коэф. концентр населения'!D9</f>
        <v>1.0081300813008129</v>
      </c>
      <c r="W8" s="62">
        <f>'123 коэф урбанизации'!E7</f>
        <v>1</v>
      </c>
      <c r="X8" s="62">
        <f t="shared" ref="X8:X13" si="5">ROUND(U8*V8*W8,3)</f>
        <v>1.6E-2</v>
      </c>
      <c r="Y8" s="62">
        <f t="shared" ref="Y8:Y12" si="6">ROUND(F8+K8+N8+Q8+T8+X8,3)</f>
        <v>2.02</v>
      </c>
    </row>
    <row r="9" spans="1:26" ht="24.75" customHeight="1" x14ac:dyDescent="0.25">
      <c r="A9" s="61" t="s">
        <v>20</v>
      </c>
      <c r="B9" s="62">
        <f>'127 удельный вес расходов'!B6</f>
        <v>0.63500000000000001</v>
      </c>
      <c r="C9" s="62">
        <f>'118 коэф. на удорож стои ЖКУ'!C8</f>
        <v>1.615</v>
      </c>
      <c r="D9" s="62">
        <f>'119 Коэф. дифферен-ии зар. пла'!H9</f>
        <v>2.0008166598611683</v>
      </c>
      <c r="E9" s="62">
        <f>'122.коэф. транспортной доступ'!H8</f>
        <v>1.3819999999999999</v>
      </c>
      <c r="F9" s="62">
        <f t="shared" si="0"/>
        <v>2.8359999999999999</v>
      </c>
      <c r="G9" s="62">
        <f>'127 удельный вес расходов'!D6</f>
        <v>0.17</v>
      </c>
      <c r="H9" s="62">
        <f>'118 коэф. на удорож стои ЖКУ'!C8</f>
        <v>1.615</v>
      </c>
      <c r="I9" s="62">
        <f>'119 Коэф. дифферен-ии зар. пла'!H9</f>
        <v>2.0008166598611683</v>
      </c>
      <c r="J9" s="62">
        <f>'123 коэф урбанизации'!E8</f>
        <v>1</v>
      </c>
      <c r="K9" s="62">
        <f t="shared" si="1"/>
        <v>0.54900000000000004</v>
      </c>
      <c r="L9" s="62">
        <f>'127 удельный вес расходов'!F6</f>
        <v>4.4999999999999998E-2</v>
      </c>
      <c r="M9" s="62">
        <f>'118 коэф. на удорож стои ЖКУ'!C8</f>
        <v>1.615</v>
      </c>
      <c r="N9" s="62">
        <f t="shared" si="2"/>
        <v>7.2999999999999995E-2</v>
      </c>
      <c r="O9" s="62">
        <f>'127 удельный вес расходов'!H6</f>
        <v>0.06</v>
      </c>
      <c r="P9" s="62">
        <f>'124 коэф. благоустройства'!H7</f>
        <v>1.7028755744483997</v>
      </c>
      <c r="Q9" s="62">
        <f t="shared" si="3"/>
        <v>0.10199999999999999</v>
      </c>
      <c r="R9" s="62">
        <f>'127 удельный вес расходов'!J6</f>
        <v>8.2000000000000003E-2</v>
      </c>
      <c r="S9" s="62">
        <f>'125 структ жил фонда'!F10</f>
        <v>4</v>
      </c>
      <c r="T9" s="62">
        <f t="shared" si="4"/>
        <v>0.32800000000000001</v>
      </c>
      <c r="U9" s="62">
        <f>'127 удельный вес расходов'!L6</f>
        <v>3.2000000000000001E-2</v>
      </c>
      <c r="V9" s="62">
        <f>'126 коэф. концентр населения'!D10</f>
        <v>1.5956284153005464</v>
      </c>
      <c r="W9" s="62">
        <f>'123 коэф урбанизации'!E8</f>
        <v>1</v>
      </c>
      <c r="X9" s="62">
        <f t="shared" si="5"/>
        <v>5.0999999999999997E-2</v>
      </c>
      <c r="Y9" s="62">
        <f t="shared" si="6"/>
        <v>3.9390000000000001</v>
      </c>
    </row>
    <row r="10" spans="1:26" ht="24.75" customHeight="1" x14ac:dyDescent="0.25">
      <c r="A10" s="61" t="s">
        <v>21</v>
      </c>
      <c r="B10" s="62">
        <f>'127 удельный вес расходов'!B7</f>
        <v>0.63800000000000001</v>
      </c>
      <c r="C10" s="62">
        <f>'118 коэф. на удорож стои ЖКУ'!C9</f>
        <v>3.4710000000000001</v>
      </c>
      <c r="D10" s="62">
        <f>'119 Коэф. дифферен-ии зар. пла'!H10</f>
        <v>2.0008166598611683</v>
      </c>
      <c r="E10" s="62">
        <f>'122.коэф. транспортной доступ'!H9</f>
        <v>2.2189999999999999</v>
      </c>
      <c r="F10" s="62">
        <f t="shared" si="0"/>
        <v>9.8320000000000007</v>
      </c>
      <c r="G10" s="62">
        <f>'127 удельный вес расходов'!D7</f>
        <v>0.22700000000000001</v>
      </c>
      <c r="H10" s="62">
        <f>'118 коэф. на удорож стои ЖКУ'!C9</f>
        <v>3.4710000000000001</v>
      </c>
      <c r="I10" s="62">
        <f>'119 Коэф. дифферен-ии зар. пла'!H10</f>
        <v>2.0008166598611683</v>
      </c>
      <c r="J10" s="62">
        <f>'123 коэф урбанизации'!E9</f>
        <v>1</v>
      </c>
      <c r="K10" s="62">
        <f t="shared" si="1"/>
        <v>1.5760000000000001</v>
      </c>
      <c r="L10" s="62">
        <f>'127 удельный вес расходов'!F7</f>
        <v>4.0000000000000001E-3</v>
      </c>
      <c r="M10" s="62">
        <f>'118 коэф. на удорож стои ЖКУ'!C9</f>
        <v>3.4710000000000001</v>
      </c>
      <c r="N10" s="62">
        <f t="shared" si="2"/>
        <v>1.4E-2</v>
      </c>
      <c r="O10" s="62">
        <f>'127 удельный вес расходов'!H7</f>
        <v>0.124</v>
      </c>
      <c r="P10" s="62">
        <f>'124 коэф. благоустройства'!H8</f>
        <v>1.2465406920876689</v>
      </c>
      <c r="Q10" s="62">
        <f t="shared" si="3"/>
        <v>0.155</v>
      </c>
      <c r="R10" s="62">
        <f>'127 удельный вес расходов'!J7</f>
        <v>0</v>
      </c>
      <c r="S10" s="62">
        <f>'125 структ жил фонда'!F11</f>
        <v>2.9329999999999998</v>
      </c>
      <c r="T10" s="62">
        <f t="shared" si="4"/>
        <v>0</v>
      </c>
      <c r="U10" s="62">
        <f>'127 удельный вес расходов'!L7</f>
        <v>7.0000000000000001E-3</v>
      </c>
      <c r="V10" s="62">
        <f>'126 коэф. концентр населения'!D11</f>
        <v>1.3040540540540539</v>
      </c>
      <c r="W10" s="62">
        <f>'123 коэф урбанизации'!E9</f>
        <v>1</v>
      </c>
      <c r="X10" s="62">
        <f t="shared" si="5"/>
        <v>8.9999999999999993E-3</v>
      </c>
      <c r="Y10" s="62">
        <f t="shared" si="6"/>
        <v>11.586</v>
      </c>
    </row>
    <row r="11" spans="1:26" ht="24.75" customHeight="1" x14ac:dyDescent="0.25">
      <c r="A11" s="61" t="s">
        <v>22</v>
      </c>
      <c r="B11" s="62">
        <f>'127 удельный вес расходов'!B8</f>
        <v>0.73299999999999998</v>
      </c>
      <c r="C11" s="62">
        <f>'118 коэф. на удорож стои ЖКУ'!C10</f>
        <v>1</v>
      </c>
      <c r="D11" s="62">
        <f>'119 Коэф. дифферен-ии зар. пла'!H11</f>
        <v>2.0008166598611683</v>
      </c>
      <c r="E11" s="62">
        <f>'122.коэф. транспортной доступ'!H10</f>
        <v>2.778</v>
      </c>
      <c r="F11" s="62">
        <f t="shared" si="0"/>
        <v>4.0739999999999998</v>
      </c>
      <c r="G11" s="62">
        <f>'127 удельный вес расходов'!D8</f>
        <v>0.13600000000000001</v>
      </c>
      <c r="H11" s="62">
        <f>'118 коэф. на удорож стои ЖКУ'!C10</f>
        <v>1</v>
      </c>
      <c r="I11" s="62">
        <f>'119 Коэф. дифферен-ии зар. пла'!H11</f>
        <v>2.0008166598611683</v>
      </c>
      <c r="J11" s="62">
        <f>'123 коэф урбанизации'!E10</f>
        <v>1</v>
      </c>
      <c r="K11" s="62">
        <f t="shared" si="1"/>
        <v>0.27200000000000002</v>
      </c>
      <c r="L11" s="62">
        <f>'127 удельный вес расходов'!F8</f>
        <v>3.9E-2</v>
      </c>
      <c r="M11" s="62">
        <f>'118 коэф. на удорож стои ЖКУ'!C10</f>
        <v>1</v>
      </c>
      <c r="N11" s="62">
        <f t="shared" si="2"/>
        <v>3.9E-2</v>
      </c>
      <c r="O11" s="62">
        <f>'127 удельный вес расходов'!H8</f>
        <v>7.0999999999999994E-2</v>
      </c>
      <c r="P11" s="62">
        <f>'124 коэф. благоустройства'!H9</f>
        <v>1.192782096965789</v>
      </c>
      <c r="Q11" s="62">
        <f t="shared" si="3"/>
        <v>8.5000000000000006E-2</v>
      </c>
      <c r="R11" s="62">
        <f>'127 удельный вес расходов'!J8</f>
        <v>0</v>
      </c>
      <c r="S11" s="62">
        <f>'125 структ жил фонда'!F12</f>
        <v>18.234000000000002</v>
      </c>
      <c r="T11" s="62">
        <f t="shared" si="4"/>
        <v>0</v>
      </c>
      <c r="U11" s="62">
        <f>'127 удельный вес расходов'!L8</f>
        <v>2.1999999999999999E-2</v>
      </c>
      <c r="V11" s="62">
        <f>'126 коэф. концентр населения'!D12</f>
        <v>1.3980582524271845</v>
      </c>
      <c r="W11" s="62">
        <f>'123 коэф урбанизации'!E10</f>
        <v>1</v>
      </c>
      <c r="X11" s="62">
        <f t="shared" si="5"/>
        <v>3.1E-2</v>
      </c>
      <c r="Y11" s="62">
        <f t="shared" si="6"/>
        <v>4.5010000000000003</v>
      </c>
    </row>
    <row r="12" spans="1:26" ht="24.75" customHeight="1" x14ac:dyDescent="0.25">
      <c r="A12" s="61" t="s">
        <v>23</v>
      </c>
      <c r="B12" s="62">
        <f>'127 удельный вес расходов'!B9</f>
        <v>0.78100000000000003</v>
      </c>
      <c r="C12" s="62">
        <f>'118 коэф. на удорож стои ЖКУ'!C11</f>
        <v>1</v>
      </c>
      <c r="D12" s="62">
        <f>'119 Коэф. дифферен-ии зар. пла'!H12</f>
        <v>2.0008166598611683</v>
      </c>
      <c r="E12" s="62">
        <f>'122.коэф. транспортной доступ'!H11</f>
        <v>0.82899999999999996</v>
      </c>
      <c r="F12" s="62">
        <f t="shared" si="0"/>
        <v>1.2949999999999999</v>
      </c>
      <c r="G12" s="62">
        <f>'127 удельный вес расходов'!D9</f>
        <v>0.13600000000000001</v>
      </c>
      <c r="H12" s="62">
        <f>'118 коэф. на удорож стои ЖКУ'!C11</f>
        <v>1</v>
      </c>
      <c r="I12" s="62">
        <f>'119 Коэф. дифферен-ии зар. пла'!H12</f>
        <v>2.0008166598611683</v>
      </c>
      <c r="J12" s="62">
        <f>'123 коэф урбанизации'!E11</f>
        <v>1</v>
      </c>
      <c r="K12" s="62">
        <f t="shared" si="1"/>
        <v>0.27200000000000002</v>
      </c>
      <c r="L12" s="62">
        <f>'127 удельный вес расходов'!F9</f>
        <v>0</v>
      </c>
      <c r="M12" s="62">
        <f>'118 коэф. на удорож стои ЖКУ'!C11</f>
        <v>1</v>
      </c>
      <c r="N12" s="62">
        <f t="shared" si="2"/>
        <v>0</v>
      </c>
      <c r="O12" s="62">
        <f>'127 удельный вес расходов'!H9</f>
        <v>7.6999999999999999E-2</v>
      </c>
      <c r="P12" s="62">
        <f>'124 коэф. благоустройства'!H10</f>
        <v>1.2262493715676328</v>
      </c>
      <c r="Q12" s="62">
        <f t="shared" si="3"/>
        <v>9.4E-2</v>
      </c>
      <c r="R12" s="62">
        <f>'127 удельный вес расходов'!J9</f>
        <v>0</v>
      </c>
      <c r="S12" s="62">
        <f>'125 структ жил фонда'!F13</f>
        <v>4.6769999999999996</v>
      </c>
      <c r="T12" s="62">
        <f t="shared" si="4"/>
        <v>0</v>
      </c>
      <c r="U12" s="62">
        <f>'127 удельный вес расходов'!L9</f>
        <v>6.0000000000000001E-3</v>
      </c>
      <c r="V12" s="62">
        <f>'126 коэф. концентр населения'!D13</f>
        <v>1.226</v>
      </c>
      <c r="W12" s="62">
        <f>'123 коэф урбанизации'!E11</f>
        <v>1</v>
      </c>
      <c r="X12" s="62">
        <f t="shared" si="5"/>
        <v>7.0000000000000001E-3</v>
      </c>
      <c r="Y12" s="62">
        <f t="shared" si="6"/>
        <v>1.6679999999999999</v>
      </c>
    </row>
    <row r="13" spans="1:26" ht="24.75" customHeight="1" x14ac:dyDescent="0.25">
      <c r="A13" s="63" t="s">
        <v>17</v>
      </c>
      <c r="B13" s="62">
        <f>'127 удельный вес расходов'!B10</f>
        <v>0.42399999999999999</v>
      </c>
      <c r="C13" s="62">
        <f>'118 коэф. на удорож стои ЖКУ'!C12</f>
        <v>1</v>
      </c>
      <c r="D13" s="62">
        <f>'119 Коэф. дифферен-ии зар. пла'!H13</f>
        <v>1.145943704364639</v>
      </c>
      <c r="E13" s="62">
        <f>'122.коэф. транспортной доступ'!H12</f>
        <v>2</v>
      </c>
      <c r="F13" s="62">
        <f t="shared" si="0"/>
        <v>0.97199999999999998</v>
      </c>
      <c r="G13" s="62">
        <f>'127 удельный вес расходов'!D10</f>
        <v>0.317</v>
      </c>
      <c r="H13" s="62">
        <f>'118 коэф. на удорож стои ЖКУ'!C12</f>
        <v>1</v>
      </c>
      <c r="I13" s="62">
        <f>'119 Коэф. дифферен-ии зар. пла'!H13</f>
        <v>1.145943704364639</v>
      </c>
      <c r="J13" s="62">
        <f>'123 коэф урбанизации'!E12</f>
        <v>1</v>
      </c>
      <c r="K13" s="62">
        <f t="shared" si="1"/>
        <v>0.36299999999999999</v>
      </c>
      <c r="L13" s="62">
        <f>'127 удельный вес расходов'!F10</f>
        <v>2.7E-2</v>
      </c>
      <c r="M13" s="62">
        <f>'118 коэф. на удорож стои ЖКУ'!C12</f>
        <v>1</v>
      </c>
      <c r="N13" s="62">
        <f t="shared" si="2"/>
        <v>2.7E-2</v>
      </c>
      <c r="O13" s="62">
        <f>'127 удельный вес расходов'!H10</f>
        <v>0.13700000000000001</v>
      </c>
      <c r="P13" s="62">
        <f>'124 коэф. благоустройства'!H11</f>
        <v>0</v>
      </c>
      <c r="Q13" s="62">
        <f t="shared" si="3"/>
        <v>0</v>
      </c>
      <c r="R13" s="62">
        <f>'127 удельный вес расходов'!J10</f>
        <v>8.0000000000000002E-3</v>
      </c>
      <c r="S13" s="62">
        <f>'125 структ жил фонда'!F14</f>
        <v>0</v>
      </c>
      <c r="T13" s="62">
        <f t="shared" si="4"/>
        <v>0</v>
      </c>
      <c r="U13" s="62">
        <f>'127 удельный вес расходов'!L10</f>
        <v>7.1999999999999995E-2</v>
      </c>
      <c r="V13" s="62">
        <f>'126 коэф. концентр населения'!D14</f>
        <v>1.0502815241587011</v>
      </c>
      <c r="W13" s="62">
        <f>'123 коэф урбанизации'!E12</f>
        <v>1</v>
      </c>
      <c r="X13" s="62">
        <f t="shared" si="5"/>
        <v>7.5999999999999998E-2</v>
      </c>
      <c r="Y13" s="62">
        <f>ROUND(F13+K13+N13+Q13+T13+X13,3)</f>
        <v>1.4379999999999999</v>
      </c>
      <c r="Z13" s="55"/>
    </row>
  </sheetData>
  <mergeCells count="10">
    <mergeCell ref="U4:X4"/>
    <mergeCell ref="Y4:Y5"/>
    <mergeCell ref="E1:G1"/>
    <mergeCell ref="C2:I2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87" firstPageNumber="116" orientation="landscape" useFirstPageNumber="1" r:id="rId1"/>
  <headerFooter alignWithMargins="0">
    <oddFooter>&amp;C&amp;P</oddFooter>
  </headerFooter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C7" sqref="C7"/>
    </sheetView>
  </sheetViews>
  <sheetFormatPr defaultRowHeight="18.75" x14ac:dyDescent="0.3"/>
  <cols>
    <col min="1" max="1" width="27.140625" style="18" customWidth="1"/>
    <col min="2" max="2" width="32.140625" style="18" customWidth="1"/>
    <col min="3" max="3" width="26" style="18" customWidth="1"/>
    <col min="4" max="16384" width="9.140625" style="18"/>
  </cols>
  <sheetData>
    <row r="1" spans="1:6" x14ac:dyDescent="0.3">
      <c r="A1" s="190" t="s">
        <v>198</v>
      </c>
      <c r="B1" s="191"/>
      <c r="C1" s="191"/>
      <c r="D1" s="17"/>
      <c r="E1" s="17"/>
      <c r="F1" s="17"/>
    </row>
    <row r="2" spans="1:6" x14ac:dyDescent="0.3">
      <c r="A2" s="16"/>
      <c r="B2" s="16"/>
      <c r="C2" s="16"/>
      <c r="D2" s="17"/>
      <c r="E2" s="17"/>
      <c r="F2" s="17"/>
    </row>
    <row r="3" spans="1:6" x14ac:dyDescent="0.3">
      <c r="A3" s="192" t="s">
        <v>81</v>
      </c>
      <c r="B3" s="192"/>
      <c r="C3" s="192"/>
      <c r="D3" s="193"/>
    </row>
    <row r="4" spans="1:6" ht="146.25" customHeight="1" x14ac:dyDescent="0.3">
      <c r="A4" s="19" t="s">
        <v>25</v>
      </c>
      <c r="B4" s="19" t="s">
        <v>133</v>
      </c>
      <c r="C4" s="19" t="s">
        <v>82</v>
      </c>
      <c r="D4" s="20"/>
      <c r="E4" s="21"/>
      <c r="F4" s="21"/>
    </row>
    <row r="5" spans="1:6" x14ac:dyDescent="0.3">
      <c r="A5" s="19">
        <v>1</v>
      </c>
      <c r="B5" s="19">
        <v>2</v>
      </c>
      <c r="C5" s="19">
        <v>3</v>
      </c>
      <c r="D5" s="20"/>
      <c r="E5" s="20"/>
      <c r="F5" s="20"/>
    </row>
    <row r="6" spans="1:6" ht="24" customHeight="1" x14ac:dyDescent="0.3">
      <c r="A6" s="22" t="s">
        <v>18</v>
      </c>
      <c r="B6" s="19">
        <v>3677.29</v>
      </c>
      <c r="C6" s="19">
        <f>ROUND(B6/B12,3)</f>
        <v>0.82599999999999996</v>
      </c>
      <c r="D6" s="20"/>
      <c r="E6" s="23"/>
      <c r="F6" s="20"/>
    </row>
    <row r="7" spans="1:6" ht="24" customHeight="1" x14ac:dyDescent="0.3">
      <c r="A7" s="22" t="s">
        <v>19</v>
      </c>
      <c r="B7" s="19">
        <v>5755.69</v>
      </c>
      <c r="C7" s="19">
        <f>ROUND(B7/B12,3)</f>
        <v>1.2929999999999999</v>
      </c>
      <c r="D7" s="20"/>
      <c r="E7" s="23"/>
      <c r="F7" s="20"/>
    </row>
    <row r="8" spans="1:6" ht="24" customHeight="1" x14ac:dyDescent="0.3">
      <c r="A8" s="22" t="s">
        <v>20</v>
      </c>
      <c r="B8" s="19">
        <v>7190.55</v>
      </c>
      <c r="C8" s="19">
        <f>ROUND(B8/B12,3)</f>
        <v>1.615</v>
      </c>
      <c r="D8" s="20"/>
      <c r="E8" s="23"/>
      <c r="F8" s="20"/>
    </row>
    <row r="9" spans="1:6" ht="24" customHeight="1" x14ac:dyDescent="0.3">
      <c r="A9" s="22" t="s">
        <v>21</v>
      </c>
      <c r="B9" s="19">
        <v>15453.13</v>
      </c>
      <c r="C9" s="19">
        <f>ROUND(B9/B12,3)</f>
        <v>3.4710000000000001</v>
      </c>
      <c r="D9" s="20"/>
      <c r="E9" s="23"/>
      <c r="F9" s="20"/>
    </row>
    <row r="10" spans="1:6" ht="24" customHeight="1" x14ac:dyDescent="0.3">
      <c r="A10" s="22" t="s">
        <v>22</v>
      </c>
      <c r="B10" s="28">
        <v>4451.96</v>
      </c>
      <c r="C10" s="19">
        <f>ROUND(B10/B12,3)</f>
        <v>1</v>
      </c>
      <c r="D10" s="20"/>
      <c r="E10" s="23"/>
      <c r="F10" s="20"/>
    </row>
    <row r="11" spans="1:6" ht="24" customHeight="1" x14ac:dyDescent="0.3">
      <c r="A11" s="22" t="s">
        <v>23</v>
      </c>
      <c r="B11" s="28">
        <v>4451.96</v>
      </c>
      <c r="C11" s="19">
        <f>ROUND(B11/B12,3)</f>
        <v>1</v>
      </c>
      <c r="D11" s="20"/>
      <c r="E11" s="23"/>
      <c r="F11" s="20"/>
    </row>
    <row r="12" spans="1:6" ht="24" customHeight="1" x14ac:dyDescent="0.3">
      <c r="A12" s="24" t="s">
        <v>28</v>
      </c>
      <c r="B12" s="25">
        <v>4451.96</v>
      </c>
      <c r="C12" s="25">
        <v>1</v>
      </c>
      <c r="D12" s="26"/>
      <c r="E12" s="20"/>
      <c r="F12" s="20"/>
    </row>
    <row r="13" spans="1:6" x14ac:dyDescent="0.3">
      <c r="D13" s="27"/>
    </row>
    <row r="14" spans="1:6" x14ac:dyDescent="0.3">
      <c r="A14" s="18" t="s">
        <v>99</v>
      </c>
    </row>
    <row r="15" spans="1:6" ht="54.75" customHeight="1" x14ac:dyDescent="0.3">
      <c r="A15" s="194" t="s">
        <v>100</v>
      </c>
      <c r="B15" s="195"/>
      <c r="C15" s="195"/>
    </row>
  </sheetData>
  <mergeCells count="3">
    <mergeCell ref="A1:C1"/>
    <mergeCell ref="A3:D3"/>
    <mergeCell ref="A15:C15"/>
  </mergeCells>
  <pageMargins left="0.70866141732283472" right="0.70866141732283472" top="0.74803149606299213" bottom="0.74803149606299213" header="0.31496062992125984" footer="0.31496062992125984"/>
  <pageSetup paperSize="9" firstPageNumber="118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D4" sqref="D4:D5"/>
    </sheetView>
  </sheetViews>
  <sheetFormatPr defaultRowHeight="18.75" x14ac:dyDescent="0.3"/>
  <cols>
    <col min="1" max="1" width="28" style="18" customWidth="1"/>
    <col min="2" max="2" width="17.28515625" style="18" customWidth="1"/>
    <col min="3" max="3" width="22.85546875" style="18" customWidth="1"/>
    <col min="4" max="4" width="21.5703125" style="18" customWidth="1"/>
    <col min="5" max="5" width="18.42578125" style="18" customWidth="1"/>
    <col min="6" max="6" width="22.28515625" style="18" customWidth="1"/>
    <col min="7" max="7" width="21" style="18" customWidth="1"/>
    <col min="8" max="8" width="28.7109375" style="18" customWidth="1"/>
    <col min="9" max="16384" width="9.140625" style="18"/>
  </cols>
  <sheetData>
    <row r="1" spans="1:8" x14ac:dyDescent="0.3">
      <c r="A1" s="197" t="s">
        <v>24</v>
      </c>
      <c r="B1" s="197"/>
      <c r="C1" s="197"/>
      <c r="D1" s="197"/>
      <c r="E1" s="197"/>
      <c r="F1" s="197"/>
      <c r="G1" s="197"/>
      <c r="H1" s="197"/>
    </row>
    <row r="2" spans="1:8" x14ac:dyDescent="0.3">
      <c r="A2" s="34"/>
      <c r="B2" s="197" t="s">
        <v>199</v>
      </c>
      <c r="C2" s="197"/>
      <c r="D2" s="197"/>
      <c r="E2" s="197"/>
      <c r="F2" s="197"/>
      <c r="G2" s="197"/>
      <c r="H2" s="34"/>
    </row>
    <row r="3" spans="1:8" x14ac:dyDescent="0.3">
      <c r="A3" s="34" t="s">
        <v>80</v>
      </c>
      <c r="B3" s="34"/>
      <c r="C3" s="34"/>
      <c r="D3" s="34"/>
      <c r="E3" s="34"/>
      <c r="F3" s="34"/>
      <c r="G3" s="34"/>
      <c r="H3" s="34"/>
    </row>
    <row r="4" spans="1:8" ht="12.75" customHeight="1" x14ac:dyDescent="0.3">
      <c r="A4" s="196" t="s">
        <v>25</v>
      </c>
      <c r="B4" s="198" t="s">
        <v>169</v>
      </c>
      <c r="C4" s="196" t="s">
        <v>26</v>
      </c>
      <c r="D4" s="196" t="s">
        <v>119</v>
      </c>
      <c r="E4" s="196" t="s">
        <v>120</v>
      </c>
      <c r="F4" s="196" t="s">
        <v>39</v>
      </c>
      <c r="G4" s="196" t="s">
        <v>121</v>
      </c>
      <c r="H4" s="196" t="s">
        <v>122</v>
      </c>
    </row>
    <row r="5" spans="1:8" ht="163.5" customHeight="1" x14ac:dyDescent="0.3">
      <c r="A5" s="196"/>
      <c r="B5" s="198"/>
      <c r="C5" s="196"/>
      <c r="D5" s="196"/>
      <c r="E5" s="196"/>
      <c r="F5" s="196"/>
      <c r="G5" s="196"/>
      <c r="H5" s="196"/>
    </row>
    <row r="6" spans="1:8" x14ac:dyDescent="0.3">
      <c r="A6" s="28">
        <v>1</v>
      </c>
      <c r="B6" s="35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7">
        <v>9</v>
      </c>
    </row>
    <row r="7" spans="1:8" ht="18" customHeight="1" x14ac:dyDescent="0.3">
      <c r="A7" s="22" t="s">
        <v>18</v>
      </c>
      <c r="B7" s="38">
        <v>6589</v>
      </c>
      <c r="C7" s="39">
        <f t="shared" ref="C7:C12" si="0">ROUND(B7/B$13,3)</f>
        <v>0.86299999999999999</v>
      </c>
      <c r="D7" s="36">
        <v>2.2000000000000002</v>
      </c>
      <c r="E7" s="40">
        <v>0.25</v>
      </c>
      <c r="F7" s="40">
        <f>D7+E7</f>
        <v>2.4500000000000002</v>
      </c>
      <c r="G7" s="40">
        <f>'120 коэф. на дисперстность'!E6</f>
        <v>1.0095613901957809</v>
      </c>
      <c r="H7" s="41">
        <f>F7*G7/'121 сред взвешан коэ на диф з.п'!G13</f>
        <v>1.0099736243281598</v>
      </c>
    </row>
    <row r="8" spans="1:8" ht="18" customHeight="1" x14ac:dyDescent="0.3">
      <c r="A8" s="22" t="s">
        <v>19</v>
      </c>
      <c r="B8" s="38">
        <v>369</v>
      </c>
      <c r="C8" s="39">
        <f t="shared" si="0"/>
        <v>4.8000000000000001E-2</v>
      </c>
      <c r="D8" s="36">
        <v>2.2000000000000002</v>
      </c>
      <c r="E8" s="40">
        <v>0.25</v>
      </c>
      <c r="F8" s="40">
        <f t="shared" ref="F8:F12" si="1">D8+E8</f>
        <v>2.4500000000000002</v>
      </c>
      <c r="G8" s="40">
        <f>'120 коэф. на дисперстность'!E7</f>
        <v>2</v>
      </c>
      <c r="H8" s="41">
        <f>F8*G8/'121 сред взвешан коэ на диф з.п'!G13</f>
        <v>2.0008166598611683</v>
      </c>
    </row>
    <row r="9" spans="1:8" ht="18" customHeight="1" x14ac:dyDescent="0.3">
      <c r="A9" s="22" t="s">
        <v>20</v>
      </c>
      <c r="B9" s="38">
        <v>366</v>
      </c>
      <c r="C9" s="39">
        <f t="shared" si="0"/>
        <v>4.8000000000000001E-2</v>
      </c>
      <c r="D9" s="36">
        <v>2.2000000000000002</v>
      </c>
      <c r="E9" s="40">
        <v>0.25</v>
      </c>
      <c r="F9" s="40">
        <f t="shared" si="1"/>
        <v>2.4500000000000002</v>
      </c>
      <c r="G9" s="40">
        <f>'120 коэф. на дисперстность'!E8</f>
        <v>2</v>
      </c>
      <c r="H9" s="41">
        <f>F9*G9/'121 сред взвешан коэ на диф з.п'!G13</f>
        <v>2.0008166598611683</v>
      </c>
    </row>
    <row r="10" spans="1:8" ht="18" customHeight="1" x14ac:dyDescent="0.3">
      <c r="A10" s="22" t="s">
        <v>21</v>
      </c>
      <c r="B10" s="38">
        <v>148</v>
      </c>
      <c r="C10" s="39">
        <f t="shared" si="0"/>
        <v>1.9E-2</v>
      </c>
      <c r="D10" s="36">
        <v>2.2000000000000002</v>
      </c>
      <c r="E10" s="40">
        <v>0.25</v>
      </c>
      <c r="F10" s="40">
        <f t="shared" si="1"/>
        <v>2.4500000000000002</v>
      </c>
      <c r="G10" s="40">
        <f>'120 коэф. на дисперстность'!E9</f>
        <v>2</v>
      </c>
      <c r="H10" s="41">
        <f>F10*G10/'121 сред взвешан коэ на диф з.п'!G13</f>
        <v>2.0008166598611683</v>
      </c>
    </row>
    <row r="11" spans="1:8" ht="18" customHeight="1" x14ac:dyDescent="0.3">
      <c r="A11" s="22" t="s">
        <v>22</v>
      </c>
      <c r="B11" s="38">
        <v>103</v>
      </c>
      <c r="C11" s="39">
        <f t="shared" si="0"/>
        <v>1.2999999999999999E-2</v>
      </c>
      <c r="D11" s="36">
        <v>2.2000000000000002</v>
      </c>
      <c r="E11" s="40">
        <v>0.25</v>
      </c>
      <c r="F11" s="40">
        <f t="shared" si="1"/>
        <v>2.4500000000000002</v>
      </c>
      <c r="G11" s="40">
        <f>'120 коэф. на дисперстность'!E10</f>
        <v>2</v>
      </c>
      <c r="H11" s="41">
        <f>F11*G11/'121 сред взвешан коэ на диф з.п'!G13</f>
        <v>2.0008166598611683</v>
      </c>
    </row>
    <row r="12" spans="1:8" ht="18" customHeight="1" x14ac:dyDescent="0.3">
      <c r="A12" s="22" t="s">
        <v>23</v>
      </c>
      <c r="B12" s="38">
        <v>62</v>
      </c>
      <c r="C12" s="39">
        <f t="shared" si="0"/>
        <v>8.0000000000000002E-3</v>
      </c>
      <c r="D12" s="36">
        <v>2.2000000000000002</v>
      </c>
      <c r="E12" s="40">
        <v>0.25</v>
      </c>
      <c r="F12" s="40">
        <f t="shared" si="1"/>
        <v>2.4500000000000002</v>
      </c>
      <c r="G12" s="40">
        <f>'120 коэф. на дисперстность'!E11</f>
        <v>2</v>
      </c>
      <c r="H12" s="41">
        <f>F12*G12/'121 сред взвешан коэ на диф з.п'!G13</f>
        <v>2.0008166598611683</v>
      </c>
    </row>
    <row r="13" spans="1:8" x14ac:dyDescent="0.3">
      <c r="A13" s="24"/>
      <c r="B13" s="42">
        <f>B7+B8+B9+B10+B11+B12</f>
        <v>7637</v>
      </c>
      <c r="C13" s="43">
        <f>SUM(C7:C12)</f>
        <v>0.99900000000000011</v>
      </c>
      <c r="D13" s="44">
        <v>2.2000000000000002</v>
      </c>
      <c r="E13" s="44">
        <v>0.25</v>
      </c>
      <c r="F13" s="40">
        <f>D13+E13</f>
        <v>2.4500000000000002</v>
      </c>
      <c r="G13" s="40">
        <f>'120 коэф. на дисперстность'!E12</f>
        <v>1.1454759722404084</v>
      </c>
      <c r="H13" s="41">
        <f>F13*G13/'121 сред взвешан коэ на диф з.п'!G13</f>
        <v>1.145943704364639</v>
      </c>
    </row>
    <row r="15" spans="1:8" x14ac:dyDescent="0.3">
      <c r="B15" s="18" t="s">
        <v>79</v>
      </c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119" orientation="landscape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G19" sqref="G19"/>
    </sheetView>
  </sheetViews>
  <sheetFormatPr defaultRowHeight="12.75" x14ac:dyDescent="0.2"/>
  <cols>
    <col min="1" max="1" width="19.28515625" style="64" customWidth="1"/>
    <col min="2" max="2" width="14.28515625" style="64" customWidth="1"/>
    <col min="3" max="3" width="23.28515625" style="64" customWidth="1"/>
    <col min="4" max="4" width="23.5703125" style="64" customWidth="1"/>
    <col min="5" max="5" width="22" style="64" customWidth="1"/>
    <col min="6" max="16384" width="9.140625" style="64"/>
  </cols>
  <sheetData>
    <row r="1" spans="1:5" ht="15.75" x14ac:dyDescent="0.25">
      <c r="A1" s="186" t="s">
        <v>24</v>
      </c>
      <c r="B1" s="186"/>
      <c r="C1" s="186"/>
      <c r="D1" s="186"/>
      <c r="E1" s="186"/>
    </row>
    <row r="2" spans="1:5" ht="15.75" x14ac:dyDescent="0.25">
      <c r="A2" s="199" t="s">
        <v>171</v>
      </c>
      <c r="B2" s="199"/>
      <c r="C2" s="199"/>
      <c r="D2" s="199"/>
      <c r="E2" s="199"/>
    </row>
    <row r="3" spans="1:5" x14ac:dyDescent="0.2">
      <c r="A3" s="200" t="s">
        <v>25</v>
      </c>
      <c r="B3" s="200" t="s">
        <v>170</v>
      </c>
      <c r="C3" s="200" t="s">
        <v>128</v>
      </c>
      <c r="D3" s="200" t="s">
        <v>129</v>
      </c>
      <c r="E3" s="200" t="s">
        <v>83</v>
      </c>
    </row>
    <row r="4" spans="1:5" ht="107.25" customHeight="1" x14ac:dyDescent="0.2">
      <c r="A4" s="200"/>
      <c r="B4" s="200"/>
      <c r="C4" s="200"/>
      <c r="D4" s="200"/>
      <c r="E4" s="200"/>
    </row>
    <row r="5" spans="1:5" ht="15.75" x14ac:dyDescent="0.25">
      <c r="A5" s="65">
        <v>1</v>
      </c>
      <c r="B5" s="66">
        <v>2</v>
      </c>
      <c r="C5" s="66">
        <v>3</v>
      </c>
      <c r="D5" s="66">
        <v>4</v>
      </c>
      <c r="E5" s="66">
        <v>5</v>
      </c>
    </row>
    <row r="6" spans="1:5" ht="19.5" customHeight="1" x14ac:dyDescent="0.3">
      <c r="A6" s="61" t="s">
        <v>18</v>
      </c>
      <c r="B6" s="38">
        <v>6589</v>
      </c>
      <c r="C6" s="66">
        <v>63</v>
      </c>
      <c r="D6" s="67">
        <f>C6/B6</f>
        <v>9.5613901957808476E-3</v>
      </c>
      <c r="E6" s="68">
        <f t="shared" ref="E6:E11" si="0">D6+1</f>
        <v>1.0095613901957809</v>
      </c>
    </row>
    <row r="7" spans="1:5" ht="19.5" customHeight="1" x14ac:dyDescent="0.3">
      <c r="A7" s="61" t="s">
        <v>19</v>
      </c>
      <c r="B7" s="38">
        <v>369</v>
      </c>
      <c r="C7" s="38">
        <v>369</v>
      </c>
      <c r="D7" s="67">
        <f>C7/B7</f>
        <v>1</v>
      </c>
      <c r="E7" s="68">
        <f t="shared" si="0"/>
        <v>2</v>
      </c>
    </row>
    <row r="8" spans="1:5" ht="19.5" customHeight="1" x14ac:dyDescent="0.3">
      <c r="A8" s="61" t="s">
        <v>20</v>
      </c>
      <c r="B8" s="38">
        <v>366</v>
      </c>
      <c r="C8" s="38">
        <v>366</v>
      </c>
      <c r="D8" s="67">
        <f>C8/B8</f>
        <v>1</v>
      </c>
      <c r="E8" s="68">
        <f t="shared" si="0"/>
        <v>2</v>
      </c>
    </row>
    <row r="9" spans="1:5" ht="19.5" customHeight="1" x14ac:dyDescent="0.3">
      <c r="A9" s="61" t="s">
        <v>21</v>
      </c>
      <c r="B9" s="38">
        <v>148</v>
      </c>
      <c r="C9" s="38">
        <v>148</v>
      </c>
      <c r="D9" s="67">
        <f>C9/B9</f>
        <v>1</v>
      </c>
      <c r="E9" s="68">
        <f t="shared" si="0"/>
        <v>2</v>
      </c>
    </row>
    <row r="10" spans="1:5" ht="19.5" customHeight="1" x14ac:dyDescent="0.3">
      <c r="A10" s="61" t="s">
        <v>22</v>
      </c>
      <c r="B10" s="38">
        <v>103</v>
      </c>
      <c r="C10" s="38">
        <v>103</v>
      </c>
      <c r="D10" s="67">
        <f t="shared" ref="D10:D11" si="1">C10/B10</f>
        <v>1</v>
      </c>
      <c r="E10" s="68">
        <f t="shared" si="0"/>
        <v>2</v>
      </c>
    </row>
    <row r="11" spans="1:5" ht="19.5" customHeight="1" x14ac:dyDescent="0.3">
      <c r="A11" s="61" t="s">
        <v>23</v>
      </c>
      <c r="B11" s="38">
        <v>62</v>
      </c>
      <c r="C11" s="38">
        <v>62</v>
      </c>
      <c r="D11" s="67">
        <f t="shared" si="1"/>
        <v>1</v>
      </c>
      <c r="E11" s="68">
        <f t="shared" si="0"/>
        <v>2</v>
      </c>
    </row>
    <row r="12" spans="1:5" ht="15.75" x14ac:dyDescent="0.25">
      <c r="A12" s="69" t="s">
        <v>17</v>
      </c>
      <c r="B12" s="70">
        <f>B6+B7+B8+B9+B10+B11</f>
        <v>7637</v>
      </c>
      <c r="C12" s="71">
        <f>C6+C7+C8+C9+C10+C11</f>
        <v>1111</v>
      </c>
      <c r="D12" s="72">
        <f>C12/B12</f>
        <v>0.14547597224040854</v>
      </c>
      <c r="E12" s="73">
        <f>1+D12</f>
        <v>1.1454759722404084</v>
      </c>
    </row>
    <row r="15" spans="1:5" x14ac:dyDescent="0.2">
      <c r="A15" s="74" t="s">
        <v>101</v>
      </c>
    </row>
    <row r="18" spans="8:8" x14ac:dyDescent="0.2">
      <c r="H18" s="64" t="s">
        <v>196</v>
      </c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120" orientation="landscape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opLeftCell="A2" workbookViewId="0">
      <selection activeCell="J18" sqref="J15:J18"/>
    </sheetView>
  </sheetViews>
  <sheetFormatPr defaultRowHeight="12.75" x14ac:dyDescent="0.2"/>
  <cols>
    <col min="1" max="1" width="23.28515625" style="64" customWidth="1"/>
    <col min="2" max="2" width="14" style="64" customWidth="1"/>
    <col min="3" max="3" width="13.85546875" style="64" customWidth="1"/>
    <col min="4" max="4" width="17" style="64" customWidth="1"/>
    <col min="5" max="5" width="16.140625" style="64" customWidth="1"/>
    <col min="6" max="6" width="16" style="64" customWidth="1"/>
    <col min="7" max="7" width="17.85546875" style="64" customWidth="1"/>
    <col min="8" max="16384" width="9.140625" style="64"/>
  </cols>
  <sheetData>
    <row r="2" spans="1:8" ht="15.75" x14ac:dyDescent="0.2">
      <c r="A2" s="201" t="s">
        <v>32</v>
      </c>
      <c r="B2" s="201"/>
      <c r="C2" s="201"/>
      <c r="D2" s="201"/>
      <c r="E2" s="201"/>
      <c r="F2" s="201"/>
      <c r="G2" s="201"/>
      <c r="H2" s="201"/>
    </row>
    <row r="3" spans="1:8" ht="15.75" x14ac:dyDescent="0.2">
      <c r="A3" s="201" t="s">
        <v>172</v>
      </c>
      <c r="B3" s="201"/>
      <c r="C3" s="201"/>
      <c r="D3" s="201"/>
      <c r="E3" s="201"/>
      <c r="F3" s="201"/>
      <c r="G3" s="201"/>
      <c r="H3" s="201"/>
    </row>
    <row r="4" spans="1:8" ht="15.75" x14ac:dyDescent="0.2">
      <c r="A4" s="75"/>
      <c r="B4" s="75"/>
      <c r="C4" s="75"/>
      <c r="D4" s="75"/>
      <c r="E4" s="75"/>
      <c r="F4" s="75"/>
      <c r="G4" s="75"/>
      <c r="H4" s="75"/>
    </row>
    <row r="5" spans="1:8" ht="141.75" customHeight="1" x14ac:dyDescent="0.2">
      <c r="A5" s="120" t="s">
        <v>33</v>
      </c>
      <c r="B5" s="121" t="s">
        <v>173</v>
      </c>
      <c r="C5" s="121" t="s">
        <v>34</v>
      </c>
      <c r="D5" s="121" t="s">
        <v>35</v>
      </c>
      <c r="E5" s="121" t="s">
        <v>36</v>
      </c>
      <c r="F5" s="121" t="s">
        <v>37</v>
      </c>
      <c r="G5" s="121" t="s">
        <v>84</v>
      </c>
      <c r="H5" s="75"/>
    </row>
    <row r="6" spans="1:8" ht="15.75" x14ac:dyDescent="0.2">
      <c r="A6" s="77">
        <v>1</v>
      </c>
      <c r="B6" s="78">
        <v>2</v>
      </c>
      <c r="C6" s="79">
        <v>3</v>
      </c>
      <c r="D6" s="76">
        <v>4</v>
      </c>
      <c r="E6" s="76">
        <v>5</v>
      </c>
      <c r="F6" s="76">
        <v>6</v>
      </c>
      <c r="G6" s="76">
        <v>7</v>
      </c>
      <c r="H6" s="75"/>
    </row>
    <row r="7" spans="1:8" ht="18.75" x14ac:dyDescent="0.3">
      <c r="A7" s="80" t="s">
        <v>18</v>
      </c>
      <c r="B7" s="38">
        <v>6589</v>
      </c>
      <c r="C7" s="81">
        <v>2.2000000000000002</v>
      </c>
      <c r="D7" s="82">
        <v>0.25</v>
      </c>
      <c r="E7" s="83">
        <f>C7+D7</f>
        <v>2.4500000000000002</v>
      </c>
      <c r="F7" s="82">
        <f>ROUND(B7/$B$13,3)</f>
        <v>0.86299999999999999</v>
      </c>
      <c r="G7" s="82">
        <f>ROUND(E7*F7,3)</f>
        <v>2.1139999999999999</v>
      </c>
      <c r="H7" s="75"/>
    </row>
    <row r="8" spans="1:8" ht="18.75" x14ac:dyDescent="0.3">
      <c r="A8" s="80" t="s">
        <v>19</v>
      </c>
      <c r="B8" s="38">
        <v>369</v>
      </c>
      <c r="C8" s="81">
        <v>2.2000000000000002</v>
      </c>
      <c r="D8" s="82">
        <v>0.25</v>
      </c>
      <c r="E8" s="83">
        <f t="shared" ref="E8:E13" si="0">C8+D8</f>
        <v>2.4500000000000002</v>
      </c>
      <c r="F8" s="82">
        <f t="shared" ref="F8:F12" si="1">ROUND(B8/$B$13,3)</f>
        <v>4.8000000000000001E-2</v>
      </c>
      <c r="G8" s="82">
        <f>ROUND(E8*F8,3)</f>
        <v>0.11799999999999999</v>
      </c>
      <c r="H8" s="75"/>
    </row>
    <row r="9" spans="1:8" ht="18.75" x14ac:dyDescent="0.3">
      <c r="A9" s="80" t="s">
        <v>20</v>
      </c>
      <c r="B9" s="38">
        <v>366</v>
      </c>
      <c r="C9" s="81">
        <v>2.2000000000000002</v>
      </c>
      <c r="D9" s="82">
        <v>0.25</v>
      </c>
      <c r="E9" s="83">
        <f t="shared" si="0"/>
        <v>2.4500000000000002</v>
      </c>
      <c r="F9" s="82">
        <f t="shared" si="1"/>
        <v>4.8000000000000001E-2</v>
      </c>
      <c r="G9" s="82">
        <f t="shared" ref="G9:G12" si="2">ROUND(E9*F9,3)</f>
        <v>0.11799999999999999</v>
      </c>
      <c r="H9" s="75"/>
    </row>
    <row r="10" spans="1:8" ht="18.75" x14ac:dyDescent="0.3">
      <c r="A10" s="80" t="s">
        <v>21</v>
      </c>
      <c r="B10" s="38">
        <v>148</v>
      </c>
      <c r="C10" s="81">
        <v>2.2000000000000002</v>
      </c>
      <c r="D10" s="82">
        <v>0.25</v>
      </c>
      <c r="E10" s="83">
        <f t="shared" si="0"/>
        <v>2.4500000000000002</v>
      </c>
      <c r="F10" s="82">
        <f t="shared" si="1"/>
        <v>1.9E-2</v>
      </c>
      <c r="G10" s="82">
        <f t="shared" si="2"/>
        <v>4.7E-2</v>
      </c>
      <c r="H10" s="75"/>
    </row>
    <row r="11" spans="1:8" ht="18.75" x14ac:dyDescent="0.3">
      <c r="A11" s="80" t="s">
        <v>22</v>
      </c>
      <c r="B11" s="38">
        <v>103</v>
      </c>
      <c r="C11" s="81">
        <v>2.2000000000000002</v>
      </c>
      <c r="D11" s="82">
        <v>0.25</v>
      </c>
      <c r="E11" s="83">
        <f t="shared" si="0"/>
        <v>2.4500000000000002</v>
      </c>
      <c r="F11" s="82">
        <f t="shared" si="1"/>
        <v>1.2999999999999999E-2</v>
      </c>
      <c r="G11" s="82">
        <f t="shared" si="2"/>
        <v>3.2000000000000001E-2</v>
      </c>
      <c r="H11" s="75"/>
    </row>
    <row r="12" spans="1:8" ht="18.75" x14ac:dyDescent="0.3">
      <c r="A12" s="80" t="s">
        <v>23</v>
      </c>
      <c r="B12" s="38">
        <v>62</v>
      </c>
      <c r="C12" s="81">
        <v>2.2000000000000002</v>
      </c>
      <c r="D12" s="82">
        <v>0.25</v>
      </c>
      <c r="E12" s="83">
        <f t="shared" si="0"/>
        <v>2.4500000000000002</v>
      </c>
      <c r="F12" s="82">
        <f t="shared" si="1"/>
        <v>8.0000000000000002E-3</v>
      </c>
      <c r="G12" s="82">
        <f t="shared" si="2"/>
        <v>0.02</v>
      </c>
      <c r="H12" s="75"/>
    </row>
    <row r="13" spans="1:8" ht="15.75" x14ac:dyDescent="0.2">
      <c r="A13" s="84" t="s">
        <v>38</v>
      </c>
      <c r="B13" s="85">
        <f>B7+B8+B9+B10+B11+B12</f>
        <v>7637</v>
      </c>
      <c r="C13" s="82">
        <v>2.2000000000000002</v>
      </c>
      <c r="D13" s="86">
        <v>0.25</v>
      </c>
      <c r="E13" s="83">
        <f t="shared" si="0"/>
        <v>2.4500000000000002</v>
      </c>
      <c r="F13" s="86">
        <f>B13/$B$13</f>
        <v>1</v>
      </c>
      <c r="G13" s="87">
        <f>SUM(G7:G12)</f>
        <v>2.4489999999999998</v>
      </c>
      <c r="H13" s="88"/>
    </row>
    <row r="15" spans="1:8" x14ac:dyDescent="0.2">
      <c r="F15" s="89"/>
    </row>
    <row r="16" spans="1:8" x14ac:dyDescent="0.2">
      <c r="A16" s="74" t="s">
        <v>102</v>
      </c>
    </row>
    <row r="18" spans="1:7" ht="27.75" customHeight="1" x14ac:dyDescent="0.2">
      <c r="A18" s="202" t="s">
        <v>103</v>
      </c>
      <c r="B18" s="203"/>
      <c r="C18" s="203"/>
      <c r="D18" s="203"/>
      <c r="E18" s="203"/>
      <c r="F18" s="203"/>
      <c r="G18" s="203"/>
    </row>
  </sheetData>
  <mergeCells count="3">
    <mergeCell ref="A2:H2"/>
    <mergeCell ref="A3:H3"/>
    <mergeCell ref="A18:G18"/>
  </mergeCells>
  <pageMargins left="0.70866141732283472" right="0.70866141732283472" top="0.74803149606299213" bottom="0.74803149606299213" header="0.31496062992125984" footer="0.31496062992125984"/>
  <pageSetup paperSize="9" firstPageNumber="121" orientation="landscape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G24" sqref="G23:G24"/>
    </sheetView>
  </sheetViews>
  <sheetFormatPr defaultRowHeight="12.75" x14ac:dyDescent="0.2"/>
  <cols>
    <col min="1" max="1" width="19.28515625" customWidth="1"/>
    <col min="2" max="2" width="18" customWidth="1"/>
    <col min="3" max="3" width="17" customWidth="1"/>
    <col min="4" max="4" width="14.7109375" customWidth="1"/>
    <col min="5" max="6" width="15.7109375" customWidth="1"/>
    <col min="7" max="7" width="17.28515625" customWidth="1"/>
    <col min="8" max="8" width="14.42578125" customWidth="1"/>
  </cols>
  <sheetData>
    <row r="1" spans="1:10" ht="15.75" x14ac:dyDescent="0.25">
      <c r="A1" s="205" t="s">
        <v>174</v>
      </c>
      <c r="B1" s="205"/>
      <c r="C1" s="205"/>
      <c r="D1" s="205"/>
      <c r="E1" s="205"/>
      <c r="F1" s="205"/>
      <c r="G1" s="205"/>
      <c r="H1" s="205"/>
    </row>
    <row r="2" spans="1:10" ht="15.75" x14ac:dyDescent="0.25">
      <c r="A2" s="11" t="s">
        <v>85</v>
      </c>
      <c r="B2" s="11"/>
      <c r="C2" s="11"/>
      <c r="D2" s="11"/>
      <c r="E2" s="11"/>
      <c r="F2" s="11"/>
      <c r="G2" s="11"/>
      <c r="H2" s="11"/>
    </row>
    <row r="3" spans="1:10" ht="15.75" x14ac:dyDescent="0.2">
      <c r="A3" s="206" t="s">
        <v>25</v>
      </c>
      <c r="B3" s="207" t="s">
        <v>98</v>
      </c>
      <c r="C3" s="208" t="s">
        <v>90</v>
      </c>
      <c r="D3" s="206" t="s">
        <v>87</v>
      </c>
      <c r="E3" s="208" t="s">
        <v>97</v>
      </c>
      <c r="F3" s="29"/>
      <c r="G3" s="206" t="s">
        <v>96</v>
      </c>
      <c r="H3" s="211" t="s">
        <v>86</v>
      </c>
    </row>
    <row r="4" spans="1:10" ht="95.25" customHeight="1" x14ac:dyDescent="0.2">
      <c r="A4" s="206"/>
      <c r="B4" s="207"/>
      <c r="C4" s="209"/>
      <c r="D4" s="206"/>
      <c r="E4" s="210"/>
      <c r="F4" s="30" t="s">
        <v>93</v>
      </c>
      <c r="G4" s="206"/>
      <c r="H4" s="209"/>
      <c r="I4" s="32" t="s">
        <v>88</v>
      </c>
    </row>
    <row r="5" spans="1:10" ht="15.75" x14ac:dyDescent="0.25">
      <c r="A5" s="2">
        <v>1</v>
      </c>
      <c r="B5" s="3">
        <v>2</v>
      </c>
      <c r="C5" s="3">
        <v>3</v>
      </c>
      <c r="D5" s="5">
        <v>4</v>
      </c>
      <c r="E5" s="3">
        <v>5</v>
      </c>
      <c r="F5" s="51">
        <v>6</v>
      </c>
      <c r="G5" s="4">
        <v>7</v>
      </c>
      <c r="H5" s="4">
        <v>8</v>
      </c>
    </row>
    <row r="6" spans="1:10" ht="20.25" customHeight="1" x14ac:dyDescent="0.25">
      <c r="A6" s="6" t="s">
        <v>18</v>
      </c>
      <c r="B6" s="33">
        <f t="shared" ref="B6:B11" si="0">ROUND(C6/E6,3)</f>
        <v>7.5</v>
      </c>
      <c r="C6" s="7">
        <v>15</v>
      </c>
      <c r="D6" s="9">
        <f>ROUND(B6/$B$12,3)</f>
        <v>0.105</v>
      </c>
      <c r="E6" s="14">
        <v>2</v>
      </c>
      <c r="F6" s="14">
        <v>1</v>
      </c>
      <c r="G6" s="9">
        <f>E6/E12</f>
        <v>0.25</v>
      </c>
      <c r="H6" s="9">
        <f>D6+G6</f>
        <v>0.35499999999999998</v>
      </c>
      <c r="I6">
        <f>B6/F12</f>
        <v>1.25</v>
      </c>
      <c r="J6">
        <f>B6/I6</f>
        <v>6</v>
      </c>
    </row>
    <row r="7" spans="1:10" ht="20.25" customHeight="1" x14ac:dyDescent="0.25">
      <c r="A7" s="6" t="s">
        <v>19</v>
      </c>
      <c r="B7" s="33">
        <f t="shared" si="0"/>
        <v>45</v>
      </c>
      <c r="C7" s="7">
        <v>45</v>
      </c>
      <c r="D7" s="9">
        <f>B7/B12</f>
        <v>0.62827225130890052</v>
      </c>
      <c r="E7" s="14">
        <v>1</v>
      </c>
      <c r="F7" s="14">
        <v>1</v>
      </c>
      <c r="G7" s="9">
        <f>E7/E12</f>
        <v>0.125</v>
      </c>
      <c r="H7" s="9">
        <f t="shared" ref="H7:H12" si="1">D7+G7</f>
        <v>0.75327225130890052</v>
      </c>
      <c r="I7">
        <f>B7/F12</f>
        <v>7.5</v>
      </c>
    </row>
    <row r="8" spans="1:10" ht="20.25" customHeight="1" x14ac:dyDescent="0.25">
      <c r="A8" s="6" t="s">
        <v>20</v>
      </c>
      <c r="B8" s="33">
        <f t="shared" si="0"/>
        <v>90</v>
      </c>
      <c r="C8" s="7">
        <v>90</v>
      </c>
      <c r="D8" s="9">
        <f>ROUND(B8/$B$12,3)</f>
        <v>1.2569999999999999</v>
      </c>
      <c r="E8" s="14">
        <v>1</v>
      </c>
      <c r="F8" s="14">
        <v>1</v>
      </c>
      <c r="G8" s="9">
        <f>E8/E12</f>
        <v>0.125</v>
      </c>
      <c r="H8" s="9">
        <f t="shared" si="1"/>
        <v>1.3819999999999999</v>
      </c>
      <c r="I8">
        <f>B8/F12</f>
        <v>15</v>
      </c>
    </row>
    <row r="9" spans="1:10" ht="20.25" customHeight="1" x14ac:dyDescent="0.25">
      <c r="A9" s="6" t="s">
        <v>21</v>
      </c>
      <c r="B9" s="33">
        <f t="shared" si="0"/>
        <v>150</v>
      </c>
      <c r="C9" s="7">
        <v>150</v>
      </c>
      <c r="D9" s="9">
        <f>ROUND(B9/$B$12,3)</f>
        <v>2.0939999999999999</v>
      </c>
      <c r="E9" s="14">
        <v>1</v>
      </c>
      <c r="F9" s="14">
        <v>1</v>
      </c>
      <c r="G9" s="9">
        <f>E9/E12</f>
        <v>0.125</v>
      </c>
      <c r="H9" s="9">
        <f t="shared" si="1"/>
        <v>2.2189999999999999</v>
      </c>
      <c r="I9">
        <f>B9/F12</f>
        <v>25</v>
      </c>
    </row>
    <row r="10" spans="1:10" ht="20.25" customHeight="1" x14ac:dyDescent="0.25">
      <c r="A10" s="6" t="s">
        <v>22</v>
      </c>
      <c r="B10" s="33">
        <f t="shared" si="0"/>
        <v>190</v>
      </c>
      <c r="C10" s="7">
        <v>190</v>
      </c>
      <c r="D10" s="9">
        <f>ROUND(B10/$B$12,3)</f>
        <v>2.653</v>
      </c>
      <c r="E10" s="14">
        <v>1</v>
      </c>
      <c r="F10" s="14">
        <v>1</v>
      </c>
      <c r="G10" s="9">
        <f>E10/E12</f>
        <v>0.125</v>
      </c>
      <c r="H10" s="9">
        <f t="shared" si="1"/>
        <v>2.778</v>
      </c>
      <c r="I10">
        <f>B10/F12</f>
        <v>31.666666666666668</v>
      </c>
    </row>
    <row r="11" spans="1:10" ht="20.25" customHeight="1" x14ac:dyDescent="0.25">
      <c r="A11" s="6" t="s">
        <v>23</v>
      </c>
      <c r="B11" s="33">
        <f t="shared" si="0"/>
        <v>41.5</v>
      </c>
      <c r="C11" s="7">
        <v>83</v>
      </c>
      <c r="D11" s="9">
        <f>ROUND(B11/$B$12,3)</f>
        <v>0.57899999999999996</v>
      </c>
      <c r="E11" s="14">
        <v>2</v>
      </c>
      <c r="F11" s="14">
        <v>1</v>
      </c>
      <c r="G11" s="9">
        <f>E11/E12</f>
        <v>0.25</v>
      </c>
      <c r="H11" s="9">
        <f t="shared" si="1"/>
        <v>0.82899999999999996</v>
      </c>
      <c r="I11">
        <f>B11/F12</f>
        <v>6.916666666666667</v>
      </c>
    </row>
    <row r="12" spans="1:10" ht="20.25" customHeight="1" x14ac:dyDescent="0.25">
      <c r="A12" s="13" t="s">
        <v>31</v>
      </c>
      <c r="B12" s="33">
        <f>C12/E12</f>
        <v>71.625</v>
      </c>
      <c r="C12" s="10">
        <f>SUM(C6:C11)</f>
        <v>573</v>
      </c>
      <c r="D12" s="1">
        <v>1</v>
      </c>
      <c r="E12" s="10">
        <f>E11+E10+E9+E8+E7+E6</f>
        <v>8</v>
      </c>
      <c r="F12" s="10">
        <f>F11+F10+F9+F8+F7+F6</f>
        <v>6</v>
      </c>
      <c r="G12" s="13">
        <v>1</v>
      </c>
      <c r="H12" s="9">
        <f t="shared" si="1"/>
        <v>2</v>
      </c>
      <c r="I12">
        <f>B12/F12</f>
        <v>11.9375</v>
      </c>
    </row>
    <row r="14" spans="1:10" ht="15.75" x14ac:dyDescent="0.25">
      <c r="B14" s="11" t="s">
        <v>94</v>
      </c>
      <c r="C14" s="11"/>
      <c r="D14" s="11"/>
      <c r="E14" s="11"/>
      <c r="F14" s="11"/>
    </row>
    <row r="15" spans="1:10" ht="15.75" x14ac:dyDescent="0.25">
      <c r="B15" s="11"/>
      <c r="C15" s="11"/>
      <c r="D15" s="11"/>
      <c r="E15" s="11"/>
      <c r="F15" s="11"/>
    </row>
    <row r="16" spans="1:10" ht="15.75" customHeight="1" x14ac:dyDescent="0.25">
      <c r="A16" s="204" t="s">
        <v>91</v>
      </c>
      <c r="B16" s="195"/>
      <c r="C16" s="204" t="s">
        <v>89</v>
      </c>
      <c r="D16" s="195"/>
      <c r="E16" s="204" t="s">
        <v>92</v>
      </c>
      <c r="F16" s="204"/>
      <c r="G16" s="11" t="s">
        <v>95</v>
      </c>
    </row>
    <row r="17" spans="1:6" ht="15.75" x14ac:dyDescent="0.25">
      <c r="B17" s="11"/>
      <c r="C17" s="11"/>
      <c r="D17" s="11"/>
      <c r="E17" s="11"/>
      <c r="F17" s="11"/>
    </row>
    <row r="18" spans="1:6" ht="15.75" x14ac:dyDescent="0.25">
      <c r="A18" s="32"/>
      <c r="B18" s="11"/>
      <c r="C18" s="11" t="s">
        <v>104</v>
      </c>
      <c r="D18" s="11"/>
      <c r="E18" s="11" t="s">
        <v>105</v>
      </c>
      <c r="F18" s="11"/>
    </row>
    <row r="19" spans="1:6" ht="15.75" x14ac:dyDescent="0.25">
      <c r="B19" s="11"/>
      <c r="C19" s="11" t="s">
        <v>106</v>
      </c>
      <c r="D19" s="11"/>
      <c r="E19" s="11" t="s">
        <v>107</v>
      </c>
      <c r="F19" s="11"/>
    </row>
    <row r="20" spans="1:6" ht="15.75" x14ac:dyDescent="0.25">
      <c r="B20" s="11"/>
      <c r="C20" s="11"/>
      <c r="D20" s="11"/>
      <c r="E20" s="11"/>
      <c r="F20" s="11"/>
    </row>
    <row r="21" spans="1:6" ht="15.75" x14ac:dyDescent="0.25">
      <c r="B21" s="11"/>
      <c r="C21" s="11"/>
      <c r="D21" s="11"/>
      <c r="E21" s="11"/>
      <c r="F21" s="11"/>
    </row>
    <row r="22" spans="1:6" ht="15.75" x14ac:dyDescent="0.25">
      <c r="B22" s="11"/>
      <c r="C22" s="11"/>
      <c r="D22" s="11"/>
      <c r="E22" s="11"/>
      <c r="F22" s="11"/>
    </row>
  </sheetData>
  <mergeCells count="11">
    <mergeCell ref="A16:B16"/>
    <mergeCell ref="C16:D16"/>
    <mergeCell ref="E16:F16"/>
    <mergeCell ref="A1:H1"/>
    <mergeCell ref="A3:A4"/>
    <mergeCell ref="B3:B4"/>
    <mergeCell ref="C3:C4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firstPageNumber="122" orientation="landscape" useFirstPageNumber="1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28" sqref="D27:D28"/>
    </sheetView>
  </sheetViews>
  <sheetFormatPr defaultRowHeight="12.75" x14ac:dyDescent="0.2"/>
  <cols>
    <col min="1" max="1" width="19.28515625" style="64" customWidth="1"/>
    <col min="2" max="2" width="17.85546875" style="64" customWidth="1"/>
    <col min="3" max="3" width="16.85546875" style="64" customWidth="1"/>
    <col min="4" max="4" width="15.7109375" style="64" customWidth="1"/>
    <col min="5" max="5" width="14.7109375" style="64" customWidth="1"/>
    <col min="6" max="16384" width="9.140625" style="64"/>
  </cols>
  <sheetData>
    <row r="1" spans="1:5" ht="15.75" x14ac:dyDescent="0.25">
      <c r="A1" s="186" t="s">
        <v>177</v>
      </c>
      <c r="B1" s="186"/>
      <c r="C1" s="186"/>
      <c r="D1" s="186"/>
      <c r="E1" s="186"/>
    </row>
    <row r="2" spans="1:5" ht="15.75" x14ac:dyDescent="0.25">
      <c r="A2" s="54" t="s">
        <v>123</v>
      </c>
      <c r="B2" s="54"/>
      <c r="C2" s="54"/>
      <c r="D2" s="54"/>
      <c r="E2" s="54"/>
    </row>
    <row r="3" spans="1:5" x14ac:dyDescent="0.2">
      <c r="A3" s="200" t="s">
        <v>25</v>
      </c>
      <c r="B3" s="212" t="s">
        <v>175</v>
      </c>
      <c r="C3" s="214" t="s">
        <v>176</v>
      </c>
      <c r="D3" s="212" t="s">
        <v>40</v>
      </c>
      <c r="E3" s="212" t="s">
        <v>108</v>
      </c>
    </row>
    <row r="4" spans="1:5" ht="54.75" customHeight="1" x14ac:dyDescent="0.2">
      <c r="A4" s="200"/>
      <c r="B4" s="213"/>
      <c r="C4" s="214"/>
      <c r="D4" s="213"/>
      <c r="E4" s="213"/>
    </row>
    <row r="5" spans="1:5" ht="15.75" x14ac:dyDescent="0.25">
      <c r="A5" s="65">
        <v>1</v>
      </c>
      <c r="B5" s="90">
        <v>2</v>
      </c>
      <c r="C5" s="91">
        <v>3</v>
      </c>
      <c r="D5" s="66">
        <v>4</v>
      </c>
      <c r="E5" s="66">
        <v>5</v>
      </c>
    </row>
    <row r="6" spans="1:5" ht="20.25" customHeight="1" x14ac:dyDescent="0.3">
      <c r="A6" s="61" t="s">
        <v>18</v>
      </c>
      <c r="B6" s="38">
        <v>6589</v>
      </c>
      <c r="C6" s="92"/>
      <c r="D6" s="62">
        <f>C6/B6</f>
        <v>0</v>
      </c>
      <c r="E6" s="62">
        <f>D6+1</f>
        <v>1</v>
      </c>
    </row>
    <row r="7" spans="1:5" ht="20.25" customHeight="1" x14ac:dyDescent="0.3">
      <c r="A7" s="61" t="s">
        <v>19</v>
      </c>
      <c r="B7" s="38">
        <v>369</v>
      </c>
      <c r="C7" s="92"/>
      <c r="D7" s="62">
        <f t="shared" ref="D7:D12" si="0">C7/B7</f>
        <v>0</v>
      </c>
      <c r="E7" s="62">
        <f t="shared" ref="E7:E12" si="1">D7+1</f>
        <v>1</v>
      </c>
    </row>
    <row r="8" spans="1:5" ht="20.25" customHeight="1" x14ac:dyDescent="0.3">
      <c r="A8" s="61" t="s">
        <v>20</v>
      </c>
      <c r="B8" s="38">
        <v>366</v>
      </c>
      <c r="C8" s="92"/>
      <c r="D8" s="62">
        <f t="shared" si="0"/>
        <v>0</v>
      </c>
      <c r="E8" s="62">
        <f t="shared" si="1"/>
        <v>1</v>
      </c>
    </row>
    <row r="9" spans="1:5" ht="20.25" customHeight="1" x14ac:dyDescent="0.3">
      <c r="A9" s="61" t="s">
        <v>21</v>
      </c>
      <c r="B9" s="38">
        <v>148</v>
      </c>
      <c r="C9" s="92"/>
      <c r="D9" s="62">
        <f t="shared" si="0"/>
        <v>0</v>
      </c>
      <c r="E9" s="62">
        <f t="shared" si="1"/>
        <v>1</v>
      </c>
    </row>
    <row r="10" spans="1:5" ht="20.25" customHeight="1" x14ac:dyDescent="0.3">
      <c r="A10" s="61" t="s">
        <v>22</v>
      </c>
      <c r="B10" s="38">
        <v>103</v>
      </c>
      <c r="C10" s="92"/>
      <c r="D10" s="62">
        <f t="shared" si="0"/>
        <v>0</v>
      </c>
      <c r="E10" s="62">
        <f t="shared" si="1"/>
        <v>1</v>
      </c>
    </row>
    <row r="11" spans="1:5" ht="20.25" customHeight="1" x14ac:dyDescent="0.3">
      <c r="A11" s="61" t="s">
        <v>23</v>
      </c>
      <c r="B11" s="38">
        <v>62</v>
      </c>
      <c r="C11" s="92"/>
      <c r="D11" s="62">
        <f t="shared" si="0"/>
        <v>0</v>
      </c>
      <c r="E11" s="62">
        <f t="shared" si="1"/>
        <v>1</v>
      </c>
    </row>
    <row r="12" spans="1:5" ht="16.5" thickBot="1" x14ac:dyDescent="0.3">
      <c r="A12" s="93" t="s">
        <v>31</v>
      </c>
      <c r="B12" s="94">
        <f>B6+B7+B8+B9+B10+B11</f>
        <v>7637</v>
      </c>
      <c r="C12" s="95">
        <f>SUM(C6:C11)</f>
        <v>0</v>
      </c>
      <c r="D12" s="62">
        <f t="shared" si="0"/>
        <v>0</v>
      </c>
      <c r="E12" s="62">
        <f t="shared" si="1"/>
        <v>1</v>
      </c>
    </row>
    <row r="13" spans="1:5" ht="13.5" thickTop="1" x14ac:dyDescent="0.2"/>
  </sheetData>
  <mergeCells count="6">
    <mergeCell ref="A1:E1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123" orientation="portrait" useFirstPageNumber="1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C3" sqref="C3"/>
    </sheetView>
  </sheetViews>
  <sheetFormatPr defaultRowHeight="12.75" x14ac:dyDescent="0.2"/>
  <cols>
    <col min="1" max="1" width="20.140625" style="64" customWidth="1"/>
    <col min="2" max="2" width="15.7109375" style="64" customWidth="1"/>
    <col min="3" max="3" width="16.42578125" style="64" customWidth="1"/>
    <col min="4" max="4" width="16.7109375" style="64" customWidth="1"/>
    <col min="5" max="5" width="16" style="64" customWidth="1"/>
    <col min="6" max="6" width="19" style="64" customWidth="1"/>
    <col min="7" max="7" width="21.85546875" style="64" customWidth="1"/>
    <col min="8" max="8" width="13" style="64" customWidth="1"/>
    <col min="9" max="16384" width="9.140625" style="64"/>
  </cols>
  <sheetData>
    <row r="1" spans="1:8" ht="29.25" customHeight="1" x14ac:dyDescent="0.25">
      <c r="B1" s="215" t="s">
        <v>178</v>
      </c>
      <c r="C1" s="215"/>
      <c r="D1" s="215"/>
      <c r="E1" s="215"/>
      <c r="F1" s="215"/>
      <c r="G1" s="215"/>
    </row>
    <row r="2" spans="1:8" ht="24.75" customHeight="1" x14ac:dyDescent="0.2">
      <c r="A2" s="74" t="s">
        <v>113</v>
      </c>
    </row>
    <row r="3" spans="1:8" ht="124.5" customHeight="1" x14ac:dyDescent="0.2">
      <c r="A3" s="90" t="s">
        <v>1</v>
      </c>
      <c r="B3" s="90" t="s">
        <v>180</v>
      </c>
      <c r="C3" s="90" t="s">
        <v>110</v>
      </c>
      <c r="D3" s="90" t="s">
        <v>179</v>
      </c>
      <c r="E3" s="90" t="s">
        <v>111</v>
      </c>
      <c r="F3" s="90" t="s">
        <v>181</v>
      </c>
      <c r="G3" s="90" t="s">
        <v>112</v>
      </c>
      <c r="H3" s="90" t="s">
        <v>109</v>
      </c>
    </row>
    <row r="4" spans="1:8" ht="15.75" x14ac:dyDescent="0.2">
      <c r="A4" s="96">
        <v>1</v>
      </c>
      <c r="B4" s="96">
        <v>2</v>
      </c>
      <c r="C4" s="96">
        <v>3</v>
      </c>
      <c r="D4" s="96">
        <v>4</v>
      </c>
      <c r="E4" s="96">
        <v>5</v>
      </c>
      <c r="F4" s="96">
        <v>6</v>
      </c>
      <c r="G4" s="96">
        <v>7</v>
      </c>
      <c r="H4" s="96">
        <v>8</v>
      </c>
    </row>
    <row r="5" spans="1:8" ht="18" customHeight="1" x14ac:dyDescent="0.25">
      <c r="A5" s="61" t="s">
        <v>18</v>
      </c>
      <c r="B5" s="62">
        <v>270.10199999999998</v>
      </c>
      <c r="C5" s="62">
        <f>1+B5/B11</f>
        <v>1.387832961680779</v>
      </c>
      <c r="D5" s="62">
        <v>41</v>
      </c>
      <c r="E5" s="62">
        <f>1+D5/D11</f>
        <v>1.5426151402858657</v>
      </c>
      <c r="F5" s="62">
        <v>49.9</v>
      </c>
      <c r="G5" s="62">
        <f>1+F5/F11</f>
        <v>1.4965174129353234</v>
      </c>
      <c r="H5" s="62">
        <f>C5*E5*G5</f>
        <v>3.2038823650450956</v>
      </c>
    </row>
    <row r="6" spans="1:8" ht="18" customHeight="1" x14ac:dyDescent="0.25">
      <c r="A6" s="61" t="s">
        <v>19</v>
      </c>
      <c r="B6" s="62">
        <v>94.474999999999994</v>
      </c>
      <c r="C6" s="62">
        <f>1+B6/B11</f>
        <v>1.1356543789190439</v>
      </c>
      <c r="D6" s="62">
        <v>7.15</v>
      </c>
      <c r="E6" s="62">
        <f>1+D6/D11</f>
        <v>1.0946267866596082</v>
      </c>
      <c r="F6" s="62">
        <v>13.4</v>
      </c>
      <c r="G6" s="62">
        <f>1+F6/F11</f>
        <v>1.1333333333333333</v>
      </c>
      <c r="H6" s="62">
        <f t="shared" ref="H6:H10" si="0">C6*E6*G6</f>
        <v>1.4088667306923417</v>
      </c>
    </row>
    <row r="7" spans="1:8" ht="18" customHeight="1" x14ac:dyDescent="0.25">
      <c r="A7" s="61" t="s">
        <v>20</v>
      </c>
      <c r="B7" s="62">
        <v>189.07</v>
      </c>
      <c r="C7" s="62">
        <f>1+B7/B11</f>
        <v>1.2714810629502369</v>
      </c>
      <c r="D7" s="62">
        <v>12.8</v>
      </c>
      <c r="E7" s="62">
        <f>1+D7/D11</f>
        <v>1.169401799894124</v>
      </c>
      <c r="F7" s="62">
        <v>14.6</v>
      </c>
      <c r="G7" s="62">
        <f>1+F7/F11</f>
        <v>1.1452736318407961</v>
      </c>
      <c r="H7" s="62">
        <f t="shared" si="0"/>
        <v>1.7028755744483997</v>
      </c>
    </row>
    <row r="8" spans="1:8" ht="18" customHeight="1" x14ac:dyDescent="0.25">
      <c r="A8" s="61" t="s">
        <v>21</v>
      </c>
      <c r="B8" s="62">
        <v>71.799000000000007</v>
      </c>
      <c r="C8" s="62">
        <f>1+B8/B11</f>
        <v>1.1030944562266043</v>
      </c>
      <c r="D8" s="62">
        <v>2.31</v>
      </c>
      <c r="E8" s="62">
        <f>1+D8/D11</f>
        <v>1.0305717310746427</v>
      </c>
      <c r="F8" s="62">
        <v>9.6999999999999993</v>
      </c>
      <c r="G8" s="62">
        <f>1+F8/F11</f>
        <v>1.0965174129353235</v>
      </c>
      <c r="H8" s="62">
        <f t="shared" si="0"/>
        <v>1.2465406920876689</v>
      </c>
    </row>
    <row r="9" spans="1:8" ht="18" customHeight="1" x14ac:dyDescent="0.25">
      <c r="A9" s="61" t="s">
        <v>22</v>
      </c>
      <c r="B9" s="62">
        <v>29.792999999999999</v>
      </c>
      <c r="C9" s="62">
        <f>1+B9/B11</f>
        <v>1.0427790517188154</v>
      </c>
      <c r="D9" s="62">
        <v>6</v>
      </c>
      <c r="E9" s="62">
        <f>1+D9/D11</f>
        <v>1.0794070937003706</v>
      </c>
      <c r="F9" s="62">
        <v>6</v>
      </c>
      <c r="G9" s="62">
        <f>1+F9/F11</f>
        <v>1.0597014925373134</v>
      </c>
      <c r="H9" s="62">
        <f t="shared" si="0"/>
        <v>1.192782096965789</v>
      </c>
    </row>
    <row r="10" spans="1:8" ht="18" customHeight="1" x14ac:dyDescent="0.25">
      <c r="A10" s="61" t="s">
        <v>23</v>
      </c>
      <c r="B10" s="62">
        <v>41.2</v>
      </c>
      <c r="C10" s="62">
        <f>1+B10/B11</f>
        <v>1.0591580885045209</v>
      </c>
      <c r="D10" s="62">
        <v>6.3</v>
      </c>
      <c r="E10" s="62">
        <f>1+D10/D11</f>
        <v>1.0833774483853891</v>
      </c>
      <c r="F10" s="62">
        <v>6.9</v>
      </c>
      <c r="G10" s="62">
        <f>1+F10/F11</f>
        <v>1.0686567164179104</v>
      </c>
      <c r="H10" s="62">
        <f t="shared" si="0"/>
        <v>1.2262493715676328</v>
      </c>
    </row>
    <row r="11" spans="1:8" ht="18" customHeight="1" x14ac:dyDescent="0.25">
      <c r="A11" s="97" t="s">
        <v>17</v>
      </c>
      <c r="B11" s="62">
        <f>SUM(B5:B10)</f>
        <v>696.43899999999996</v>
      </c>
      <c r="C11" s="62"/>
      <c r="D11" s="62">
        <f>SUM(D5:D10)</f>
        <v>75.56</v>
      </c>
      <c r="E11" s="62"/>
      <c r="F11" s="62">
        <f>SUM(F5:F10)</f>
        <v>100.5</v>
      </c>
      <c r="G11" s="62"/>
      <c r="H11" s="62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96" firstPageNumber="124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114 распределение дотации</vt:lpstr>
      <vt:lpstr>116 индекс бюдж.расходов</vt:lpstr>
      <vt:lpstr>118 коэф. на удорож стои ЖКУ</vt:lpstr>
      <vt:lpstr>119 Коэф. дифферен-ии зар. пла</vt:lpstr>
      <vt:lpstr>120 коэф. на дисперстность</vt:lpstr>
      <vt:lpstr>121 сред взвешан коэ на диф з.п</vt:lpstr>
      <vt:lpstr>122.коэф. транспортной доступ</vt:lpstr>
      <vt:lpstr>123 коэф урбанизации</vt:lpstr>
      <vt:lpstr>124 коэф. благоустройства</vt:lpstr>
      <vt:lpstr>125 структ жил фонда</vt:lpstr>
      <vt:lpstr>126 коэф. концентр населения</vt:lpstr>
      <vt:lpstr>127 удельный вес расходов</vt:lpstr>
      <vt:lpstr>'114 распределение дотации'!Область_печати</vt:lpstr>
      <vt:lpstr>'118 коэф. на удорож стои ЖКУ'!Область_печати</vt:lpstr>
      <vt:lpstr>'122.коэф. транспортной доступ'!Область_печати</vt:lpstr>
      <vt:lpstr>'125 структ жил фонда'!Область_печати</vt:lpstr>
      <vt:lpstr>'126 коэф. концентр населения'!Область_печати</vt:lpstr>
      <vt:lpstr>'127 удельный вес расходов'!Область_печати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Лидия В. Сутыгина</cp:lastModifiedBy>
  <cp:lastPrinted>2022-11-09T05:23:22Z</cp:lastPrinted>
  <dcterms:created xsi:type="dcterms:W3CDTF">1996-10-08T23:32:33Z</dcterms:created>
  <dcterms:modified xsi:type="dcterms:W3CDTF">2022-11-09T08:12:56Z</dcterms:modified>
</cp:coreProperties>
</file>