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\Desktop\Великая\Документы и материалы к проекту бюджета на 2022-2024 - 1\"/>
    </mc:Choice>
  </mc:AlternateContent>
  <bookViews>
    <workbookView xWindow="120" yWindow="210" windowWidth="26835" windowHeight="9405" activeTab="12"/>
  </bookViews>
  <sheets>
    <sheet name="171-172  расчет дотации" sheetId="22" r:id="rId1"/>
    <sheet name="173 индекс бюджетных расходов" sheetId="1" r:id="rId2"/>
    <sheet name="175 удельный вес расходов" sheetId="13" r:id="rId3"/>
    <sheet name="176. коэф. на удорож стои ЖКУ" sheetId="15" r:id="rId4"/>
    <sheet name="177 Коэф. дифферен-ии зар. пла" sheetId="2" r:id="rId5"/>
    <sheet name="178 коэф. на дисперстность" sheetId="14" r:id="rId6"/>
    <sheet name="179 ред взвешан коэ на диф з.п" sheetId="16" r:id="rId7"/>
    <sheet name="180.коэф. транспортной доступ" sheetId="18" r:id="rId8"/>
    <sheet name="181коэф урбанизации" sheetId="20" r:id="rId9"/>
    <sheet name="182 коэф. благоустройства" sheetId="21" r:id="rId10"/>
    <sheet name="183 структ жил фонда" sheetId="17" r:id="rId11"/>
    <sheet name="184 .коэф. концентр населения" sheetId="3" r:id="rId12"/>
    <sheet name="185 расчет дотации на сбалан" sheetId="23" r:id="rId13"/>
    <sheet name="Лист1" sheetId="24" r:id="rId14"/>
  </sheets>
  <externalReferences>
    <externalReference r:id="rId15"/>
  </externalReferences>
  <definedNames>
    <definedName name="_xlnm.Print_Titles" localSheetId="0">'171-172  расчет дотации'!$A:$A</definedName>
    <definedName name="_xlnm.Print_Titles" localSheetId="1">'173 индекс бюджетных расходов'!$A:$A</definedName>
    <definedName name="_xlnm.Print_Area" localSheetId="0">'171-172  расчет дотации'!$A$1:$Y$23</definedName>
    <definedName name="_xlnm.Print_Area" localSheetId="2">'175 удельный вес расходов'!$A$1:$O$11</definedName>
    <definedName name="_xlnm.Print_Area" localSheetId="3">'176. коэф. на удорож стои ЖКУ'!$A$1:$C$15</definedName>
    <definedName name="_xlnm.Print_Area" localSheetId="6">'179 ред взвешан коэ на диф з.п'!$A$1:$G$18</definedName>
    <definedName name="_xlnm.Print_Area" localSheetId="7">'180.коэф. транспортной доступ'!$A$1:$H$17</definedName>
    <definedName name="_xlnm.Print_Area" localSheetId="10">'183 структ жил фонда'!$A$1:$F$20</definedName>
    <definedName name="_xlnm.Print_Area" localSheetId="11">'184 .коэф. концентр населения'!$A$1:$D$14</definedName>
    <definedName name="_xlnm.Print_Area" localSheetId="12">'185 расчет дотации на сбалан'!$A$1:$H$20</definedName>
  </definedNames>
  <calcPr calcId="152511"/>
</workbook>
</file>

<file path=xl/calcChain.xml><?xml version="1.0" encoding="utf-8"?>
<calcChain xmlns="http://schemas.openxmlformats.org/spreadsheetml/2006/main">
  <c r="Q21" i="22" l="1"/>
  <c r="Q20" i="22"/>
  <c r="Q19" i="22"/>
  <c r="Q18" i="22"/>
  <c r="Q17" i="22"/>
  <c r="Q16" i="22"/>
  <c r="Q15" i="22"/>
  <c r="L13" i="22"/>
  <c r="D13" i="22"/>
  <c r="E9" i="22" l="1"/>
  <c r="E10" i="22"/>
  <c r="E7" i="22"/>
  <c r="E11" i="22"/>
  <c r="E8" i="22"/>
  <c r="C10" i="13"/>
  <c r="E18" i="23" l="1"/>
  <c r="E17" i="23"/>
  <c r="E16" i="23"/>
  <c r="E15" i="23"/>
  <c r="E14" i="23"/>
  <c r="E13" i="23"/>
  <c r="AE13" i="22"/>
  <c r="AD13" i="22"/>
  <c r="C13" i="23" l="1"/>
  <c r="I13" i="23" s="1"/>
  <c r="C18" i="23"/>
  <c r="I18" i="23" s="1"/>
  <c r="C17" i="23"/>
  <c r="I17" i="23" s="1"/>
  <c r="C15" i="23"/>
  <c r="I15" i="23" s="1"/>
  <c r="C16" i="23"/>
  <c r="I16" i="23" s="1"/>
  <c r="C14" i="23"/>
  <c r="I14" i="23" s="1"/>
  <c r="H20" i="23"/>
  <c r="G20" i="23"/>
  <c r="F20" i="23"/>
  <c r="B20" i="23"/>
  <c r="I20" i="23" l="1"/>
  <c r="C20" i="23"/>
  <c r="E20" i="23"/>
  <c r="D20" i="23"/>
  <c r="AA13" i="22" l="1"/>
  <c r="Q13" i="22"/>
  <c r="B13" i="22"/>
  <c r="AB12" i="22"/>
  <c r="G12" i="22"/>
  <c r="AB11" i="22"/>
  <c r="G11" i="22"/>
  <c r="AB10" i="22"/>
  <c r="G10" i="22"/>
  <c r="AB9" i="22"/>
  <c r="G9" i="22"/>
  <c r="AB8" i="22"/>
  <c r="G8" i="22"/>
  <c r="AB7" i="22"/>
  <c r="G7" i="22"/>
  <c r="F13" i="22" l="1"/>
  <c r="G13" i="22" s="1"/>
  <c r="H8" i="22" s="1"/>
  <c r="AB13" i="22"/>
  <c r="D8" i="17"/>
  <c r="H10" i="22" l="1"/>
  <c r="H12" i="22"/>
  <c r="H9" i="22"/>
  <c r="H11" i="22"/>
  <c r="E13" i="22"/>
  <c r="H7" i="22"/>
  <c r="D10" i="14" l="1"/>
  <c r="D9" i="14"/>
  <c r="D6" i="14"/>
  <c r="D7" i="14"/>
  <c r="D8" i="14"/>
  <c r="S13" i="1" l="1"/>
  <c r="M13" i="1" l="1"/>
  <c r="H13" i="1"/>
  <c r="C13" i="1"/>
  <c r="P13" i="1"/>
  <c r="F11" i="21"/>
  <c r="G10" i="21" s="1"/>
  <c r="D11" i="21"/>
  <c r="E9" i="21" s="1"/>
  <c r="B11" i="21"/>
  <c r="C10" i="21" s="1"/>
  <c r="C12" i="20"/>
  <c r="B12" i="20"/>
  <c r="D11" i="20"/>
  <c r="E11" i="20" s="1"/>
  <c r="J12" i="1" s="1"/>
  <c r="D10" i="20"/>
  <c r="E10" i="20" s="1"/>
  <c r="W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J7" i="1" s="1"/>
  <c r="F12" i="18"/>
  <c r="B11" i="18"/>
  <c r="B10" i="18"/>
  <c r="B9" i="18"/>
  <c r="B7" i="18"/>
  <c r="B6" i="18"/>
  <c r="E10" i="21" l="1"/>
  <c r="E6" i="21"/>
  <c r="E7" i="21"/>
  <c r="E8" i="21"/>
  <c r="E5" i="21"/>
  <c r="W10" i="1"/>
  <c r="W8" i="1"/>
  <c r="W12" i="1"/>
  <c r="G5" i="21"/>
  <c r="G6" i="21"/>
  <c r="G7" i="21"/>
  <c r="G8" i="21"/>
  <c r="G9" i="21"/>
  <c r="H10" i="21"/>
  <c r="P12" i="1" s="1"/>
  <c r="J9" i="1"/>
  <c r="J11" i="1"/>
  <c r="D12" i="20"/>
  <c r="E12" i="20" s="1"/>
  <c r="W7" i="1"/>
  <c r="C7" i="21"/>
  <c r="C5" i="21"/>
  <c r="C9" i="21"/>
  <c r="H9" i="21" s="1"/>
  <c r="P11" i="1" s="1"/>
  <c r="C6" i="21"/>
  <c r="C8" i="21"/>
  <c r="I11" i="18"/>
  <c r="I10" i="18"/>
  <c r="I9" i="18"/>
  <c r="I8" i="18"/>
  <c r="I7" i="18"/>
  <c r="I6" i="18"/>
  <c r="J6" i="18" s="1"/>
  <c r="H12" i="18"/>
  <c r="E13" i="1" s="1"/>
  <c r="E12" i="18"/>
  <c r="G6" i="18" s="1"/>
  <c r="C12" i="18"/>
  <c r="B12" i="18" s="1"/>
  <c r="G9" i="18"/>
  <c r="G8" i="18"/>
  <c r="H7" i="21" l="1"/>
  <c r="P9" i="1" s="1"/>
  <c r="H6" i="21"/>
  <c r="P8" i="1" s="1"/>
  <c r="H8" i="21"/>
  <c r="P10" i="1" s="1"/>
  <c r="G10" i="18"/>
  <c r="G11" i="18"/>
  <c r="H5" i="21"/>
  <c r="P7" i="1" s="1"/>
  <c r="D6" i="18"/>
  <c r="I12" i="18"/>
  <c r="W13" i="1"/>
  <c r="J13" i="1"/>
  <c r="H6" i="18"/>
  <c r="E7" i="1" s="1"/>
  <c r="G7" i="18"/>
  <c r="D8" i="18"/>
  <c r="H8" i="18" s="1"/>
  <c r="E9" i="1" s="1"/>
  <c r="D9" i="18"/>
  <c r="H9" i="18" s="1"/>
  <c r="E10" i="1" s="1"/>
  <c r="D10" i="18"/>
  <c r="D11" i="18"/>
  <c r="D7" i="18"/>
  <c r="C14" i="17"/>
  <c r="B14" i="17"/>
  <c r="D13" i="17"/>
  <c r="D12" i="17"/>
  <c r="D11" i="17"/>
  <c r="D10" i="17"/>
  <c r="D9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1" i="14"/>
  <c r="B11" i="14"/>
  <c r="E10" i="14"/>
  <c r="G12" i="2" s="1"/>
  <c r="E9" i="14"/>
  <c r="G11" i="2" s="1"/>
  <c r="E8" i="14"/>
  <c r="G10" i="2" s="1"/>
  <c r="E7" i="14"/>
  <c r="G9" i="2" s="1"/>
  <c r="E6" i="14"/>
  <c r="G8" i="2" s="1"/>
  <c r="D5" i="14"/>
  <c r="E5" i="14" s="1"/>
  <c r="G7" i="2" s="1"/>
  <c r="D14" i="17" l="1"/>
  <c r="E14" i="17"/>
  <c r="F8" i="17" s="1"/>
  <c r="H11" i="18"/>
  <c r="E12" i="1" s="1"/>
  <c r="H10" i="18"/>
  <c r="E11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1" i="14"/>
  <c r="E11" i="14" s="1"/>
  <c r="G13" i="2" s="1"/>
  <c r="M8" i="1"/>
  <c r="H8" i="1"/>
  <c r="C8" i="1"/>
  <c r="M7" i="1"/>
  <c r="H7" i="1"/>
  <c r="C7" i="1"/>
  <c r="M9" i="1"/>
  <c r="H9" i="1"/>
  <c r="C9" i="1"/>
  <c r="M11" i="1"/>
  <c r="H11" i="1"/>
  <c r="C11" i="1"/>
  <c r="M10" i="1"/>
  <c r="H10" i="1"/>
  <c r="C10" i="1"/>
  <c r="M12" i="1"/>
  <c r="C12" i="1"/>
  <c r="H12" i="1"/>
  <c r="H7" i="18"/>
  <c r="E8" i="1" s="1"/>
  <c r="F9" i="17" l="1"/>
  <c r="S8" i="1" s="1"/>
  <c r="G13" i="16"/>
  <c r="F12" i="17"/>
  <c r="S11" i="1" s="1"/>
  <c r="F11" i="17"/>
  <c r="S10" i="1" s="1"/>
  <c r="S7" i="1"/>
  <c r="F10" i="17"/>
  <c r="S9" i="1" s="1"/>
  <c r="F13" i="17"/>
  <c r="S12" i="1" s="1"/>
  <c r="O4" i="13" l="1"/>
  <c r="J4" i="13" s="1"/>
  <c r="O9" i="13"/>
  <c r="J9" i="13" s="1"/>
  <c r="I10" i="13"/>
  <c r="O8" i="13"/>
  <c r="O7" i="13"/>
  <c r="J7" i="13" s="1"/>
  <c r="K10" i="13"/>
  <c r="O6" i="13"/>
  <c r="E10" i="13"/>
  <c r="O5" i="13"/>
  <c r="J8" i="13" l="1"/>
  <c r="D8" i="13"/>
  <c r="B6" i="13"/>
  <c r="J6" i="13"/>
  <c r="H5" i="13"/>
  <c r="J5" i="13"/>
  <c r="F8" i="13"/>
  <c r="B7" i="13"/>
  <c r="F7" i="13"/>
  <c r="B4" i="13"/>
  <c r="B7" i="1" s="1"/>
  <c r="G10" i="13"/>
  <c r="D9" i="13"/>
  <c r="F9" i="13"/>
  <c r="L9" i="13"/>
  <c r="H9" i="13"/>
  <c r="M10" i="13"/>
  <c r="L7" i="13"/>
  <c r="D7" i="13"/>
  <c r="B8" i="13"/>
  <c r="B11" i="1" s="1"/>
  <c r="B9" i="13"/>
  <c r="H8" i="13"/>
  <c r="H7" i="13"/>
  <c r="L8" i="13"/>
  <c r="F5" i="13"/>
  <c r="B5" i="13"/>
  <c r="D6" i="13"/>
  <c r="H6" i="13"/>
  <c r="F6" i="13"/>
  <c r="D5" i="13"/>
  <c r="D13" i="3"/>
  <c r="D8" i="3"/>
  <c r="D4" i="13" l="1"/>
  <c r="F4" i="13"/>
  <c r="H4" i="13"/>
  <c r="O10" i="13"/>
  <c r="B10" i="13" s="1"/>
  <c r="N9" i="13"/>
  <c r="N8" i="13"/>
  <c r="N7" i="13"/>
  <c r="N6" i="13"/>
  <c r="N5" i="13"/>
  <c r="R7" i="1"/>
  <c r="U12" i="1"/>
  <c r="U11" i="1"/>
  <c r="R10" i="1"/>
  <c r="R9" i="1"/>
  <c r="U8" i="1"/>
  <c r="N4" i="13" l="1"/>
  <c r="H10" i="13"/>
  <c r="L10" i="13"/>
  <c r="D10" i="13"/>
  <c r="F10" i="13"/>
  <c r="J10" i="13"/>
  <c r="R13" i="1" s="1"/>
  <c r="L7" i="1"/>
  <c r="G7" i="1"/>
  <c r="O7" i="1"/>
  <c r="U7" i="1"/>
  <c r="B8" i="1"/>
  <c r="L8" i="1"/>
  <c r="R8" i="1"/>
  <c r="G9" i="1"/>
  <c r="O9" i="1"/>
  <c r="U9" i="1"/>
  <c r="G10" i="1"/>
  <c r="O10" i="1"/>
  <c r="U10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N10" i="13" l="1"/>
  <c r="U13" i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D12" i="1" s="1"/>
  <c r="F11" i="2"/>
  <c r="H11" i="2" s="1"/>
  <c r="D11" i="1" s="1"/>
  <c r="F8" i="2"/>
  <c r="H8" i="2" s="1"/>
  <c r="I8" i="1" s="1"/>
  <c r="F7" i="2"/>
  <c r="H7" i="2" s="1"/>
  <c r="D7" i="1" s="1"/>
  <c r="I12" i="1" l="1"/>
  <c r="I7" i="1"/>
  <c r="I11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10" i="1" l="1"/>
  <c r="D10" i="1"/>
  <c r="D9" i="1"/>
  <c r="I9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13" i="1" l="1"/>
  <c r="Y8" i="1"/>
  <c r="Y9" i="1"/>
  <c r="J9" i="22" s="1"/>
  <c r="Y7" i="1"/>
  <c r="J7" i="22" s="1"/>
  <c r="Y12" i="1"/>
  <c r="J12" i="22" s="1"/>
  <c r="Y10" i="1"/>
  <c r="Y11" i="1"/>
  <c r="J11" i="22" s="1"/>
  <c r="I13" i="22" l="1"/>
  <c r="J13" i="22" s="1"/>
  <c r="U13" i="22" s="1"/>
  <c r="U11" i="22"/>
  <c r="N11" i="22"/>
  <c r="O11" i="22" s="1"/>
  <c r="R11" i="22"/>
  <c r="U9" i="22"/>
  <c r="N9" i="22"/>
  <c r="O9" i="22" s="1"/>
  <c r="R9" i="22"/>
  <c r="J8" i="22"/>
  <c r="U12" i="22"/>
  <c r="N12" i="22"/>
  <c r="O12" i="22" s="1"/>
  <c r="R12" i="22"/>
  <c r="R7" i="22"/>
  <c r="U7" i="22"/>
  <c r="N7" i="22"/>
  <c r="O7" i="22" s="1"/>
  <c r="J10" i="22"/>
  <c r="N8" i="22" l="1"/>
  <c r="O8" i="22" s="1"/>
  <c r="U8" i="22"/>
  <c r="R8" i="22"/>
  <c r="R10" i="22"/>
  <c r="U10" i="22"/>
  <c r="N10" i="22"/>
  <c r="O10" i="22" s="1"/>
  <c r="R13" i="22" l="1"/>
  <c r="S11" i="22" s="1"/>
  <c r="O13" i="22"/>
  <c r="P12" i="22" s="1"/>
  <c r="S10" i="22" l="1"/>
  <c r="S8" i="22"/>
  <c r="S9" i="22"/>
  <c r="S7" i="22"/>
  <c r="S12" i="22"/>
  <c r="T12" i="22" s="1"/>
  <c r="P11" i="22"/>
  <c r="P7" i="22"/>
  <c r="P9" i="22"/>
  <c r="P10" i="22"/>
  <c r="P8" i="22"/>
  <c r="AG10" i="22" l="1"/>
  <c r="AG8" i="22"/>
  <c r="AG7" i="22"/>
  <c r="T11" i="22"/>
  <c r="W11" i="22" s="1"/>
  <c r="AG11" i="22"/>
  <c r="AG9" i="22"/>
  <c r="AG12" i="22"/>
  <c r="T10" i="22"/>
  <c r="W10" i="22" s="1"/>
  <c r="T8" i="22"/>
  <c r="AF8" i="22" s="1"/>
  <c r="S13" i="22"/>
  <c r="T7" i="22"/>
  <c r="X7" i="22" s="1"/>
  <c r="T9" i="22"/>
  <c r="W12" i="22"/>
  <c r="Z12" i="22"/>
  <c r="X12" i="22"/>
  <c r="AF12" i="22"/>
  <c r="P13" i="22"/>
  <c r="X11" i="22" l="1"/>
  <c r="AG13" i="22"/>
  <c r="AF11" i="22"/>
  <c r="Z11" i="22"/>
  <c r="W8" i="22"/>
  <c r="X10" i="22"/>
  <c r="Z10" i="22"/>
  <c r="AF10" i="22"/>
  <c r="X8" i="22"/>
  <c r="AF7" i="22"/>
  <c r="W7" i="22"/>
  <c r="Z8" i="22"/>
  <c r="T13" i="22"/>
  <c r="Z7" i="22"/>
  <c r="X9" i="22"/>
  <c r="X14" i="22" s="1"/>
  <c r="W9" i="22"/>
  <c r="Z9" i="22"/>
  <c r="AF9" i="22"/>
  <c r="AF13" i="22" l="1"/>
  <c r="W13" i="22"/>
  <c r="T14" i="22"/>
  <c r="Z13" i="22"/>
  <c r="AF14" i="22" l="1"/>
  <c r="AG14" i="22" s="1"/>
  <c r="Z14" i="22"/>
</calcChain>
</file>

<file path=xl/sharedStrings.xml><?xml version="1.0" encoding="utf-8"?>
<sst xmlns="http://schemas.openxmlformats.org/spreadsheetml/2006/main" count="279" uniqueCount="171">
  <si>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</si>
  <si>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</si>
  <si>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</si>
  <si>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</si>
  <si>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</si>
  <si>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</si>
  <si>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</si>
  <si>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</si>
  <si>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</si>
  <si>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</si>
  <si>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</si>
  <si>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</si>
  <si>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</si>
  <si>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</si>
  <si>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</si>
  <si>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</si>
  <si>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</si>
  <si>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</si>
  <si>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</si>
  <si>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</si>
  <si>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</si>
  <si>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</si>
  <si>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</si>
  <si>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</si>
  <si>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</si>
  <si>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</si>
  <si>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</si>
  <si>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</si>
  <si>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</si>
  <si>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</si>
  <si>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</si>
  <si>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</si>
  <si>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</si>
  <si>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</si>
  <si>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 xml:space="preserve">25-% Надбавка к з/п за работу в сельской местности (гр.4*0,25/гр.3) 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</si>
  <si>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</si>
  <si>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</si>
  <si>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</si>
  <si>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</si>
  <si>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</si>
  <si>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</si>
  <si>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</si>
  <si>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</si>
  <si>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</si>
  <si>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</si>
  <si>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</si>
  <si>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</si>
  <si>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</si>
  <si>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</si>
  <si>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</si>
  <si>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</si>
  <si>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</si>
  <si>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</si>
  <si>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</si>
  <si>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</si>
  <si>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</si>
  <si>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Кзпj = (Крj +  Ксевнj + Кснj) * Кдисj)/ Кдифзп</t>
  </si>
  <si>
    <t>1.2.4.</t>
  </si>
  <si>
    <t>1.2.3.</t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</si>
  <si>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</si>
  <si>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</si>
  <si>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</si>
  <si>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</si>
  <si>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</si>
  <si>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</si>
  <si>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</si>
  <si>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</si>
  <si>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</si>
  <si>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</si>
  <si>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</si>
  <si>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</si>
  <si>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</si>
  <si>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</si>
  <si>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</si>
  <si>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</si>
  <si>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</si>
  <si>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</si>
  <si>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</si>
  <si>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</si>
  <si>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</si>
  <si>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</si>
  <si>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</si>
  <si>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</si>
  <si>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</si>
  <si>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</si>
  <si>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</si>
  <si>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</si>
  <si>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</si>
  <si>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</si>
  <si>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</si>
  <si>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</si>
  <si>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</si>
  <si>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</si>
  <si>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</si>
  <si>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</si>
  <si>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</si>
  <si>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</si>
  <si>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</si>
  <si>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>Численность населения, проживающего в населенных пунктах с численностью до 500 человек (чел.)</t>
  </si>
  <si>
    <t>Районный коэффициент, процентная надбавка за стаж работы в районах крайнего севера и приравненных к ним местностям</t>
  </si>
  <si>
    <t>Итого районный коэффициент + процентная надбавка за стаж работы в районах крайнего севера и приравненных к ним местностям, надбавка за работу в сельской местности</t>
  </si>
  <si>
    <t>Сумма               (тыс. руб.)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</si>
  <si>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4"/>
        <rFont val="Times New Roman"/>
        <family val="1"/>
        <charset val="204"/>
      </rPr>
      <t>Uj</t>
    </r>
  </si>
  <si>
    <r>
      <t xml:space="preserve">Поправочный коэффициент на дисперсность расселения населения  (1+гр.4), </t>
    </r>
    <r>
      <rPr>
        <b/>
        <sz val="14"/>
        <rFont val="Times New Roman"/>
        <family val="1"/>
        <charset val="204"/>
      </rPr>
      <t>Кдисj</t>
    </r>
  </si>
  <si>
    <t>наименование
сельского 
поселения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</si>
  <si>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</si>
  <si>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</si>
  <si>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</si>
  <si>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</si>
  <si>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</si>
  <si>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</si>
  <si>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</si>
  <si>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</si>
  <si>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</si>
  <si>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</si>
  <si>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</si>
  <si>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</si>
  <si>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</si>
  <si>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</si>
  <si>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</si>
  <si>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</si>
  <si>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</si>
  <si>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</si>
  <si>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</si>
  <si>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</si>
  <si>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</si>
  <si>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ранжирование
после
выравнивания</t>
  </si>
  <si>
    <t xml:space="preserve">Межбюджетные трансферты на сбалансированность </t>
  </si>
  <si>
    <t>Базовые расходы</t>
  </si>
  <si>
    <t>собственные доходы</t>
  </si>
  <si>
    <t>Дотация на сбалансированность</t>
  </si>
  <si>
    <t xml:space="preserve">Поселения </t>
  </si>
  <si>
    <t>Дотация  на выравнивание бюджетной обеспеченности</t>
  </si>
  <si>
    <t>Дотация на сбалансированность бюджетов поселений</t>
  </si>
  <si>
    <t xml:space="preserve">Лукашкин Ярское </t>
  </si>
  <si>
    <t>ИТОГО:</t>
  </si>
  <si>
    <t>Безвозмездные поступления (нецелевая финансовоая помощь)</t>
  </si>
  <si>
    <t>Коэффициент удорожания стоимости жилищно-коммунальных услуг (гр, 2/ср. по району гр. 2,   Кжкуj</t>
  </si>
  <si>
    <r>
      <t xml:space="preserve">средневзвешенное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</si>
  <si>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>бюджетная обеспеченность
после выравнивания
гр23/итгр23/гр9</t>
  </si>
  <si>
    <t>в административном центре поселения на 2023 год</t>
  </si>
  <si>
    <t xml:space="preserve"> субвенция по переданным государственным полномочиям </t>
  </si>
  <si>
    <t>Численность населения на 01.01.2020 г. ( чел.)</t>
  </si>
  <si>
    <t>Городское население на 01.01.2020 г. ( чел)</t>
  </si>
  <si>
    <t>Расчет удельного веса расходов бюджетов поселений Александровского района на 2024 год (прогноз)</t>
  </si>
  <si>
    <t>Коэффициента удорожания стоимости ЖКУ на 2024 год</t>
  </si>
  <si>
    <t>Расчет дотации на сбалансированность бюджетов поселений Александровского района на 2024 год</t>
  </si>
  <si>
    <t>Прогноз средневзвешенного тарифа на тепловую энергию по бюджетным организациям на 2024 год (по данным Департамента тарифного регулирования), tj</t>
  </si>
  <si>
    <r>
      <t xml:space="preserve">Численность населения на 01.01.2021 г.         </t>
    </r>
    <r>
      <rPr>
        <b/>
        <sz val="14"/>
        <rFont val="Times New Roman"/>
        <family val="1"/>
        <charset val="204"/>
      </rPr>
      <t>( чел.), Чj/ Ч</t>
    </r>
  </si>
  <si>
    <t>коэффициента дифференциации заработной платы на 2024 год</t>
  </si>
  <si>
    <t>Численность населения на 01.01.2021 г.      (чел.)</t>
  </si>
  <si>
    <t>поправочного коэффициента на дисперсность расселения населения на 2024 год</t>
  </si>
  <si>
    <t>для расчета ИБР на 2024 год</t>
  </si>
  <si>
    <r>
      <t xml:space="preserve">Численность населения на 01.01.2021 г., </t>
    </r>
    <r>
      <rPr>
        <b/>
        <sz val="12"/>
        <rFont val="Times New Roman"/>
        <family val="1"/>
        <charset val="204"/>
      </rPr>
      <t xml:space="preserve">Чj </t>
    </r>
  </si>
  <si>
    <t>Расчет коэффициента транспортной доступности на 2024 год</t>
  </si>
  <si>
    <t>Расчет коэффициента урбанизации на 2024 год</t>
  </si>
  <si>
    <t>коэффициента благоустройства на 2024 год</t>
  </si>
  <si>
    <t>площадь
улично-
дорожной 
сети на
01.01.2021,
тыс.кв.м.</t>
  </si>
  <si>
    <t>протяженность
освещенных
частей
улиц на
01.01.2021,
км.</t>
  </si>
  <si>
    <t xml:space="preserve">протяженность
дорог в
границах
населенных
пунктов на 
01.01.2021, км.
</t>
  </si>
  <si>
    <t>поправочного коэффициента на структуру жилого фонда на 2024 год</t>
  </si>
  <si>
    <t>Численность населения на 01.01.2021 г. проживающего в муниципальном жилье ( чел.)</t>
  </si>
  <si>
    <r>
      <t xml:space="preserve">Площадь жилого фонда, находящегося в муниципальной собственности, на 01.01.2021 (кв.м), </t>
    </r>
    <r>
      <rPr>
        <b/>
        <sz val="12"/>
        <rFont val="Times New Roman"/>
        <family val="1"/>
        <charset val="204"/>
      </rPr>
      <t>ПЛмжфj</t>
    </r>
  </si>
  <si>
    <t>численность
населения на
01.01.2021,
чел.</t>
  </si>
  <si>
    <t>численность
населения
административного
центра поселения
на 01.01.2021, чел.</t>
  </si>
  <si>
    <t>Расчет индекса бюджетных расходов поселений на 2024 год</t>
  </si>
  <si>
    <t>численность
населения 
на 01.01.2021г.
чел.</t>
  </si>
  <si>
    <t xml:space="preserve">распределения дотаций сельским поселениям Александровского района  на 2024 год </t>
  </si>
  <si>
    <t>Расчетные  расходы бюджетов сельских поселений на 2024</t>
  </si>
  <si>
    <t>Прогноз доходов бюджета на 2024</t>
  </si>
  <si>
    <t>Налоговые и неналоговые доходы на 2023 г. , прогно4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</si>
</sst>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#,##0.000"/>
    <numFmt numFmtId="167" formatCode="#,##0.0"/>
    <numFmt numFmtId="168" formatCode="0.0000"/>
  </numFmts>
  <fonts count="12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164" fontId="6" fillId="0" borderId="0" xfId="0" applyNumberFormat="1" applyFont="1" applyBorder="1"/>
    <xf numFmtId="2" fontId="6" fillId="0" borderId="0" xfId="0" applyNumberFormat="1" applyFont="1" applyBorder="1"/>
    <xf numFmtId="2" fontId="6" fillId="0" borderId="0" xfId="0" applyNumberFormat="1" applyFont="1"/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164" fontId="2" fillId="0" borderId="0" xfId="0" applyNumberFormat="1" applyFont="1"/>
    <xf numFmtId="164" fontId="2" fillId="2" borderId="1" xfId="0" applyNumberFormat="1" applyFont="1" applyFill="1" applyBorder="1"/>
    <xf numFmtId="164" fontId="2" fillId="3" borderId="1" xfId="0" applyNumberFormat="1" applyFont="1" applyFill="1" applyBorder="1"/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/>
    <xf numFmtId="0" fontId="2" fillId="0" borderId="0" xfId="0" applyFont="1" applyAlignment="1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Border="1"/>
    <xf numFmtId="166" fontId="2" fillId="0" borderId="0" xfId="0" applyNumberFormat="1" applyFont="1"/>
    <xf numFmtId="166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10" fillId="6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0" fillId="0" borderId="1" xfId="0" applyNumberFormat="1" applyBorder="1"/>
    <xf numFmtId="166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2" fillId="0" borderId="0" xfId="0" applyNumberFormat="1" applyFont="1" applyAlignment="1">
      <alignment wrapText="1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5" fontId="2" fillId="0" borderId="1" xfId="0" applyNumberFormat="1" applyFont="1" applyBorder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" fontId="10" fillId="7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0" fillId="8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164" fontId="10" fillId="9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4" fontId="10" fillId="0" borderId="0" xfId="0" applyNumberFormat="1" applyFont="1"/>
    <xf numFmtId="165" fontId="10" fillId="0" borderId="1" xfId="0" applyNumberFormat="1" applyFont="1" applyBorder="1"/>
    <xf numFmtId="0" fontId="10" fillId="0" borderId="0" xfId="0" applyFont="1"/>
    <xf numFmtId="2" fontId="11" fillId="0" borderId="1" xfId="0" applyNumberFormat="1" applyFont="1" applyFill="1" applyBorder="1" applyAlignment="1">
      <alignment horizontal="center" vertical="center"/>
    </xf>
    <xf numFmtId="4" fontId="8" fillId="7" borderId="1" xfId="0" applyNumberFormat="1" applyFont="1" applyFill="1" applyBorder="1" applyAlignment="1">
      <alignment horizontal="center" vertical="center"/>
    </xf>
    <xf numFmtId="165" fontId="8" fillId="11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/>
    <xf numFmtId="165" fontId="2" fillId="0" borderId="0" xfId="0" applyNumberFormat="1" applyFont="1"/>
    <xf numFmtId="166" fontId="3" fillId="0" borderId="1" xfId="0" applyNumberFormat="1" applyFont="1" applyBorder="1"/>
    <xf numFmtId="167" fontId="2" fillId="0" borderId="0" xfId="0" applyNumberFormat="1" applyFont="1"/>
    <xf numFmtId="0" fontId="3" fillId="0" borderId="0" xfId="0" applyFont="1"/>
    <xf numFmtId="165" fontId="2" fillId="0" borderId="0" xfId="0" applyNumberFormat="1" applyFont="1" applyBorder="1"/>
    <xf numFmtId="0" fontId="6" fillId="0" borderId="1" xfId="0" applyFont="1" applyBorder="1" applyAlignment="1">
      <alignment wrapText="1"/>
    </xf>
    <xf numFmtId="0" fontId="6" fillId="4" borderId="0" xfId="0" applyFont="1" applyFill="1"/>
    <xf numFmtId="0" fontId="6" fillId="4" borderId="0" xfId="0" applyFont="1" applyFill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center"/>
    </xf>
    <xf numFmtId="166" fontId="6" fillId="4" borderId="1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wrapText="1"/>
    </xf>
    <xf numFmtId="165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wrapText="1"/>
    </xf>
    <xf numFmtId="164" fontId="5" fillId="4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4" borderId="0" xfId="0" applyNumberFormat="1" applyFont="1" applyFill="1" applyBorder="1" applyAlignment="1" applyProtection="1">
      <alignment vertical="top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left" vertical="top" indent="8"/>
    </xf>
    <xf numFmtId="0" fontId="2" fillId="4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left" vertical="top" indent="4"/>
    </xf>
    <xf numFmtId="0" fontId="2" fillId="4" borderId="1" xfId="0" applyNumberFormat="1" applyFont="1" applyFill="1" applyBorder="1" applyAlignment="1" applyProtection="1">
      <alignment horizontal="left" vertical="top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NumberFormat="1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 applyProtection="1">
      <alignment horizontal="center" vertical="center"/>
    </xf>
    <xf numFmtId="0" fontId="3" fillId="4" borderId="1" xfId="0" applyNumberFormat="1" applyFont="1" applyFill="1" applyBorder="1" applyAlignment="1" applyProtection="1">
      <alignment horizontal="left" vertical="top"/>
    </xf>
    <xf numFmtId="165" fontId="3" fillId="4" borderId="1" xfId="0" applyNumberFormat="1" applyFont="1" applyFill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</xf>
    <xf numFmtId="164" fontId="2" fillId="4" borderId="0" xfId="0" applyNumberFormat="1" applyFont="1" applyFill="1" applyBorder="1" applyAlignment="1" applyProtection="1">
      <alignment vertical="top"/>
    </xf>
    <xf numFmtId="0" fontId="0" fillId="4" borderId="0" xfId="0" applyFill="1" applyAlignment="1">
      <alignment vertical="center"/>
    </xf>
    <xf numFmtId="164" fontId="0" fillId="4" borderId="0" xfId="0" applyNumberFormat="1" applyFill="1"/>
    <xf numFmtId="0" fontId="7" fillId="4" borderId="0" xfId="0" applyFont="1" applyFill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165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 vertical="center"/>
    </xf>
    <xf numFmtId="165" fontId="3" fillId="4" borderId="8" xfId="0" applyNumberFormat="1" applyFont="1" applyFill="1" applyBorder="1" applyAlignment="1">
      <alignment horizontal="center" vertical="center"/>
    </xf>
    <xf numFmtId="165" fontId="3" fillId="4" borderId="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/>
    <xf numFmtId="0" fontId="2" fillId="4" borderId="1" xfId="0" applyFont="1" applyFill="1" applyBorder="1"/>
    <xf numFmtId="0" fontId="2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/>
    </xf>
    <xf numFmtId="167" fontId="2" fillId="4" borderId="1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7" fontId="3" fillId="4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2" fontId="2" fillId="0" borderId="0" xfId="0" applyNumberFormat="1" applyFont="1"/>
    <xf numFmtId="2" fontId="2" fillId="4" borderId="1" xfId="0" applyNumberFormat="1" applyFont="1" applyFill="1" applyBorder="1"/>
    <xf numFmtId="4" fontId="2" fillId="0" borderId="1" xfId="0" applyNumberFormat="1" applyFont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4" fontId="2" fillId="4" borderId="0" xfId="0" applyNumberFormat="1" applyFont="1" applyFill="1" applyBorder="1"/>
    <xf numFmtId="0" fontId="2" fillId="4" borderId="0" xfId="0" applyFont="1" applyFill="1" applyBorder="1"/>
    <xf numFmtId="165" fontId="2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/>
    <xf numFmtId="164" fontId="8" fillId="4" borderId="0" xfId="0" applyNumberFormat="1" applyFont="1" applyFill="1" applyBorder="1" applyAlignment="1">
      <alignment horizontal="center" vertical="center"/>
    </xf>
    <xf numFmtId="168" fontId="2" fillId="4" borderId="0" xfId="0" applyNumberFormat="1" applyFont="1" applyFill="1" applyBorder="1"/>
    <xf numFmtId="164" fontId="2" fillId="4" borderId="0" xfId="0" applyNumberFormat="1" applyFont="1" applyFill="1" applyBorder="1"/>
    <xf numFmtId="165" fontId="10" fillId="4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/>
    <xf numFmtId="168" fontId="3" fillId="4" borderId="0" xfId="0" applyNumberFormat="1" applyFont="1" applyFill="1" applyBorder="1"/>
    <xf numFmtId="168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wrapText="1"/>
    </xf>
    <xf numFmtId="0" fontId="6" fillId="4" borderId="0" xfId="0" applyFont="1" applyFill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 vertical="top"/>
    </xf>
    <xf numFmtId="0" fontId="7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2" fillId="4" borderId="0" xfId="0" applyFont="1" applyFill="1" applyAlignment="1">
      <alignment wrapText="1"/>
    </xf>
    <xf numFmtId="0" fontId="3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%20&#1088;&#1072;&#1073;&#1086;&#1095;&#1077;&#1075;&#1086;%20&#1089;&#1090;&#1086;&#1083;&#1072;\&#1074;&#1089;&#1077;%20&#1085;&#1072;%202020%20&#1075;&#1086;&#1076;\&#1041;&#1102;&#1076;&#1078;&#1077;&#1090;%201%20&#1095;&#1090;&#1077;&#1085;&#1080;&#1077;%20&#1085;&#1072;%202020-2022\213-260%20&#1088;&#1072;&#1089;&#1095;&#1077;&#1090;%20&#1076;&#1086;&#1090;&#1072;&#1094;&#1080;&#1080;%202020-2022%20&#1080;%20&#1080;&#1085;&#1099;&#1093;%20&#1084;&#1077;&#1078;&#1073;&#1102;&#1076;&#1078;&#1077;&#1090;&#1085;&#1074;&#1093;%20&#1090;&#1088;&#1072;&#1085;&#1089;&#1092;&#1077;&#1088;&#1090;&#1086;&#1074;%20&#1085;&#1072;%20&#1089;&#1073;&#1072;&#1083;&#1072;&#1085;&#1089;&#1080;&#1088;&#1086;&#1074;&#1072;&#1085;&#1085;&#1086;&#1089;&#1090;&#1100;\&#1056;&#1040;&#1057;&#1063;&#1045;&#1058;%20&#1044;&#1054;&#1058;&#1040;&#1062;&#1048;&#1048;%20&#1053;&#1040;%202020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тация"/>
      <sheetName val="межбюджетные трансферты"/>
      <sheetName val="Лист1"/>
    </sheetNames>
    <sheetDataSet>
      <sheetData sheetId="0"/>
      <sheetData sheetId="1">
        <row r="14">
          <cell r="D14">
            <v>53157.099999999991</v>
          </cell>
        </row>
        <row r="15">
          <cell r="D15">
            <v>6534.1</v>
          </cell>
        </row>
        <row r="16">
          <cell r="D16">
            <v>7321.4</v>
          </cell>
        </row>
        <row r="17">
          <cell r="D17">
            <v>5772.9</v>
          </cell>
        </row>
        <row r="18">
          <cell r="D18">
            <v>4961.1000000000004</v>
          </cell>
        </row>
        <row r="19">
          <cell r="D19">
            <v>5227.7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25"/>
  <sheetViews>
    <sheetView zoomScaleNormal="100" workbookViewId="0">
      <selection activeCell="D20" sqref="D18:D20"/>
    </sheetView>
  </sheetViews>
  <sheetFormatPr defaultRowHeight="15.75" x14ac:dyDescent="0.25"/>
  <cols>
    <col min="1" max="1" width="22.42578125" style="3" customWidth="1"/>
    <col min="2" max="2" width="14.7109375" style="3" customWidth="1"/>
    <col min="3" max="3" width="11.7109375" style="3" customWidth="1"/>
    <col min="4" max="4" width="14.85546875" style="3" customWidth="1"/>
    <col min="5" max="5" width="12" style="55" customWidth="1"/>
    <col min="6" max="6" width="12.7109375" style="3" customWidth="1"/>
    <col min="7" max="7" width="15" style="3" customWidth="1"/>
    <col min="8" max="8" width="15.140625" style="3" customWidth="1"/>
    <col min="9" max="9" width="9.28515625" style="3" bestFit="1" customWidth="1"/>
    <col min="10" max="10" width="11.42578125" style="3" customWidth="1"/>
    <col min="11" max="12" width="11.85546875" style="3" customWidth="1"/>
    <col min="13" max="13" width="10.42578125" style="3" customWidth="1"/>
    <col min="14" max="14" width="12.28515625" style="3" customWidth="1"/>
    <col min="15" max="15" width="19.42578125" style="3" customWidth="1"/>
    <col min="16" max="16" width="14" style="55" customWidth="1"/>
    <col min="17" max="17" width="10.5703125" style="3" customWidth="1"/>
    <col min="18" max="18" width="18.42578125" style="3" customWidth="1"/>
    <col min="19" max="19" width="15.5703125" style="55" customWidth="1"/>
    <col min="20" max="20" width="11.28515625" style="55" customWidth="1"/>
    <col min="21" max="21" width="11.7109375" style="3" customWidth="1"/>
    <col min="22" max="23" width="16.85546875" style="3" customWidth="1"/>
    <col min="24" max="24" width="18" style="3" customWidth="1"/>
    <col min="25" max="25" width="10.140625" style="3" customWidth="1"/>
    <col min="26" max="26" width="16.140625" style="55" hidden="1" customWidth="1"/>
    <col min="27" max="29" width="9.140625" style="3" hidden="1" customWidth="1"/>
    <col min="30" max="30" width="13.5703125" style="55" customWidth="1"/>
    <col min="31" max="31" width="15.7109375" style="55" customWidth="1"/>
    <col min="32" max="32" width="17.140625" style="55" customWidth="1"/>
    <col min="33" max="33" width="13.7109375" style="3" customWidth="1"/>
    <col min="34" max="16384" width="9.140625" style="3"/>
  </cols>
  <sheetData>
    <row r="2" spans="1:33" x14ac:dyDescent="0.25">
      <c r="F2" s="193" t="s">
        <v>0</v>
      </c>
      <c r="G2" s="193"/>
    </row>
    <row r="3" spans="1:33" x14ac:dyDescent="0.25">
      <c r="C3" s="193" t="s">
        <v>167</v>
      </c>
      <c r="D3" s="193"/>
      <c r="E3" s="193"/>
      <c r="F3" s="193"/>
      <c r="G3" s="193"/>
      <c r="H3" s="193"/>
      <c r="I3" s="193"/>
      <c r="J3" s="193"/>
      <c r="K3" s="194"/>
    </row>
    <row r="5" spans="1:33" ht="173.25" x14ac:dyDescent="0.25">
      <c r="A5" s="44" t="s">
        <v>104</v>
      </c>
      <c r="B5" s="44" t="s">
        <v>166</v>
      </c>
      <c r="C5" s="44" t="s">
        <v>105</v>
      </c>
      <c r="D5" s="44" t="s">
        <v>106</v>
      </c>
      <c r="E5" s="56" t="s">
        <v>107</v>
      </c>
      <c r="F5" s="44" t="s">
        <v>108</v>
      </c>
      <c r="G5" s="44" t="s">
        <v>109</v>
      </c>
      <c r="H5" s="57" t="s">
        <v>110</v>
      </c>
      <c r="I5" s="44" t="s">
        <v>111</v>
      </c>
      <c r="J5" s="44" t="s">
        <v>112</v>
      </c>
      <c r="K5" s="44" t="s">
        <v>113</v>
      </c>
      <c r="L5" s="44" t="s">
        <v>114</v>
      </c>
      <c r="M5" s="44" t="s">
        <v>115</v>
      </c>
      <c r="N5" s="44" t="s">
        <v>116</v>
      </c>
      <c r="O5" s="44" t="s">
        <v>117</v>
      </c>
      <c r="P5" s="56" t="s">
        <v>118</v>
      </c>
      <c r="Q5" s="44" t="s">
        <v>119</v>
      </c>
      <c r="R5" s="58" t="s">
        <v>120</v>
      </c>
      <c r="S5" s="56" t="s">
        <v>121</v>
      </c>
      <c r="T5" s="56" t="s">
        <v>122</v>
      </c>
      <c r="U5" s="44" t="s">
        <v>123</v>
      </c>
      <c r="V5" s="44" t="s">
        <v>124</v>
      </c>
      <c r="W5" s="44" t="s">
        <v>125</v>
      </c>
      <c r="X5" s="44" t="s">
        <v>139</v>
      </c>
      <c r="Y5" s="59" t="s">
        <v>126</v>
      </c>
      <c r="Z5" s="60" t="s">
        <v>127</v>
      </c>
      <c r="AD5" s="60" t="s">
        <v>128</v>
      </c>
      <c r="AE5" s="60" t="s">
        <v>129</v>
      </c>
      <c r="AF5" s="60" t="s">
        <v>130</v>
      </c>
    </row>
    <row r="6" spans="1:33" s="30" customFormat="1" x14ac:dyDescent="0.2">
      <c r="A6" s="25">
        <v>1</v>
      </c>
      <c r="B6" s="25">
        <v>2</v>
      </c>
      <c r="C6" s="25">
        <v>3</v>
      </c>
      <c r="D6" s="25">
        <v>4</v>
      </c>
      <c r="E6" s="61">
        <v>5</v>
      </c>
      <c r="F6" s="25">
        <v>6</v>
      </c>
      <c r="G6" s="25">
        <v>7</v>
      </c>
      <c r="H6" s="29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62">
        <v>16</v>
      </c>
      <c r="Q6" s="25">
        <v>17</v>
      </c>
      <c r="R6" s="63">
        <v>18</v>
      </c>
      <c r="S6" s="62">
        <v>19</v>
      </c>
      <c r="T6" s="62">
        <v>20</v>
      </c>
      <c r="U6" s="25">
        <v>21</v>
      </c>
      <c r="V6" s="25">
        <v>22</v>
      </c>
      <c r="W6" s="25">
        <v>23</v>
      </c>
      <c r="X6" s="25">
        <v>23</v>
      </c>
      <c r="Y6" s="25">
        <v>24</v>
      </c>
      <c r="Z6" s="64"/>
      <c r="AD6" s="64"/>
      <c r="AE6" s="64"/>
      <c r="AF6" s="64"/>
    </row>
    <row r="7" spans="1:33" x14ac:dyDescent="0.25">
      <c r="A7" s="1" t="s">
        <v>18</v>
      </c>
      <c r="B7" s="43">
        <v>6664</v>
      </c>
      <c r="C7" s="25"/>
      <c r="D7" s="25"/>
      <c r="E7" s="65">
        <f>ROUND(D13*B7/1000,2)</f>
        <v>8697.9699999999993</v>
      </c>
      <c r="F7" s="66">
        <v>41932</v>
      </c>
      <c r="G7" s="67">
        <f>ROUND(F7/B7*1000,2)</f>
        <v>6292.32</v>
      </c>
      <c r="H7" s="68">
        <f>ROUND(G7/G13,3)</f>
        <v>0.999</v>
      </c>
      <c r="I7" s="69">
        <v>1.046</v>
      </c>
      <c r="J7" s="187">
        <f>ROUND(H7/I7,3)</f>
        <v>0.95499999999999996</v>
      </c>
      <c r="K7" s="25"/>
      <c r="L7" s="25"/>
      <c r="M7" s="25"/>
      <c r="N7" s="70">
        <f>M13-J7</f>
        <v>0</v>
      </c>
      <c r="O7" s="35">
        <f>ROUND(G10*B7*I7*N7,1)</f>
        <v>0</v>
      </c>
      <c r="P7" s="65">
        <f>ROUND(L13/O13*O7,1)</f>
        <v>0</v>
      </c>
      <c r="Q7" s="25"/>
      <c r="R7" s="41">
        <f>ROUND(B7*J7/1000,3)</f>
        <v>6.3639999999999999</v>
      </c>
      <c r="S7" s="65">
        <f>ROUND(Q13*R7/R13,1)</f>
        <v>8723.9</v>
      </c>
      <c r="T7" s="71">
        <f t="shared" ref="T7:T12" si="0">E7+P7+S7</f>
        <v>17421.87</v>
      </c>
      <c r="U7" s="72">
        <f t="shared" ref="U7:U13" si="1">J7</f>
        <v>0.95499999999999996</v>
      </c>
      <c r="V7" s="73">
        <v>1</v>
      </c>
      <c r="W7" s="74">
        <f>(F7+T7)/B7*1000</f>
        <v>8906.6431572629044</v>
      </c>
      <c r="X7" s="75">
        <f>J7+(F7+T7-E7)/(B7/1000*I7*K$13)</f>
        <v>1.3506217986070046</v>
      </c>
      <c r="Y7" s="76">
        <v>1</v>
      </c>
      <c r="Z7" s="55">
        <f>AD7-T7-AE7</f>
        <v>-478.47000000000116</v>
      </c>
      <c r="AA7" s="77">
        <v>74254.7</v>
      </c>
      <c r="AB7" s="3">
        <f>'[1]межбюджетные трансферты'!D14</f>
        <v>53157.099999999991</v>
      </c>
      <c r="AD7" s="38">
        <v>58875.4</v>
      </c>
      <c r="AE7" s="66">
        <v>41932</v>
      </c>
      <c r="AF7" s="45">
        <f>AD7-AE7-T7</f>
        <v>-478.46999999999753</v>
      </c>
      <c r="AG7" s="55">
        <f>P7+S7</f>
        <v>8723.9</v>
      </c>
    </row>
    <row r="8" spans="1:33" x14ac:dyDescent="0.25">
      <c r="A8" s="1" t="s">
        <v>19</v>
      </c>
      <c r="B8" s="43">
        <v>367</v>
      </c>
      <c r="C8" s="25"/>
      <c r="D8" s="25"/>
      <c r="E8" s="65">
        <f>ROUND(D13*B8/1000,3)</f>
        <v>479.01499999999999</v>
      </c>
      <c r="F8" s="66">
        <v>1575</v>
      </c>
      <c r="G8" s="67">
        <f t="shared" ref="G8:G13" si="2">ROUND(F8/B8*1000,2)</f>
        <v>4291.55</v>
      </c>
      <c r="H8" s="68">
        <f>ROUND(G8/G13,3)</f>
        <v>0.68100000000000005</v>
      </c>
      <c r="I8" s="69">
        <v>1.8160000000000001</v>
      </c>
      <c r="J8" s="41">
        <f>ROUND(H8/I8,3)</f>
        <v>0.375</v>
      </c>
      <c r="K8" s="25"/>
      <c r="L8" s="25"/>
      <c r="M8" s="25"/>
      <c r="N8" s="70">
        <f>M13-J8</f>
        <v>0.57999999999999996</v>
      </c>
      <c r="O8" s="35">
        <f>ROUND(G11*B8*I8*N8,1)</f>
        <v>10415671.699999999</v>
      </c>
      <c r="P8" s="65">
        <f>ROUND(L13/O13*O8,1)</f>
        <v>1088.4000000000001</v>
      </c>
      <c r="Q8" s="25"/>
      <c r="R8" s="41">
        <f>ROUND(B8*J8/1000,3)</f>
        <v>0.13800000000000001</v>
      </c>
      <c r="S8" s="65">
        <f>ROUND(Q13*R8/R13,1)</f>
        <v>189.2</v>
      </c>
      <c r="T8" s="71">
        <f t="shared" si="0"/>
        <v>1756.615</v>
      </c>
      <c r="U8" s="72">
        <f t="shared" si="1"/>
        <v>0.375</v>
      </c>
      <c r="V8" s="73">
        <v>3</v>
      </c>
      <c r="W8" s="74">
        <f t="shared" ref="W8:W13" si="3">(F8+T8)/B8*1000</f>
        <v>9077.9700272479549</v>
      </c>
      <c r="X8" s="75">
        <f t="shared" ref="X8:X12" si="4">J8+(F8+T8-E8)/(B8/1000*I8*K$13)</f>
        <v>0.60801067585662139</v>
      </c>
      <c r="Y8" s="76">
        <v>4</v>
      </c>
      <c r="Z8" s="55">
        <f t="shared" ref="Z8:Z12" si="5">AD8-T8-AE8</f>
        <v>4042.9850000000006</v>
      </c>
      <c r="AA8" s="77">
        <v>7969.25</v>
      </c>
      <c r="AB8" s="3">
        <f>'[1]межбюджетные трансферты'!D15</f>
        <v>6534.1</v>
      </c>
      <c r="AD8" s="38">
        <v>7374.6</v>
      </c>
      <c r="AE8" s="66">
        <v>1575</v>
      </c>
      <c r="AF8" s="45">
        <f t="shared" ref="AF8:AF12" si="6">AD8-AE8-T8</f>
        <v>4042.9850000000006</v>
      </c>
      <c r="AG8" s="55">
        <f t="shared" ref="AG8:AG12" si="7">P8+S8</f>
        <v>1277.6000000000001</v>
      </c>
    </row>
    <row r="9" spans="1:33" x14ac:dyDescent="0.25">
      <c r="A9" s="1" t="s">
        <v>20</v>
      </c>
      <c r="B9" s="43">
        <v>375</v>
      </c>
      <c r="C9" s="4"/>
      <c r="D9" s="4"/>
      <c r="E9" s="65">
        <f>ROUND(D13*B9/1000,2)</f>
        <v>489.46</v>
      </c>
      <c r="F9" s="66">
        <v>1123</v>
      </c>
      <c r="G9" s="67">
        <f t="shared" si="2"/>
        <v>2994.67</v>
      </c>
      <c r="H9" s="68">
        <f>ROUND(G9/G13,3)</f>
        <v>0.47499999999999998</v>
      </c>
      <c r="I9" s="69">
        <v>3.5720000000000001</v>
      </c>
      <c r="J9" s="41">
        <f t="shared" ref="J9:J11" si="8">ROUND(H9/I9,3)</f>
        <v>0.13300000000000001</v>
      </c>
      <c r="K9" s="4"/>
      <c r="L9" s="4"/>
      <c r="M9" s="4"/>
      <c r="N9" s="41">
        <f>M13-J9</f>
        <v>0.82199999999999995</v>
      </c>
      <c r="O9" s="35">
        <f>ROUND(G11*B9*I9*N9,1)</f>
        <v>29668249.199999999</v>
      </c>
      <c r="P9" s="65">
        <f>ROUND(L13/O13*O9,1)</f>
        <v>3100.1</v>
      </c>
      <c r="Q9" s="4"/>
      <c r="R9" s="41">
        <f t="shared" ref="R9:R12" si="9">ROUND(B9*J9/1000,3)</f>
        <v>0.05</v>
      </c>
      <c r="S9" s="65">
        <f>ROUND(Q13*R9/R13,1)</f>
        <v>68.5</v>
      </c>
      <c r="T9" s="71">
        <f t="shared" si="0"/>
        <v>3658.06</v>
      </c>
      <c r="U9" s="72">
        <f t="shared" si="1"/>
        <v>0.13300000000000001</v>
      </c>
      <c r="V9" s="73">
        <v>5</v>
      </c>
      <c r="W9" s="74">
        <f t="shared" si="3"/>
        <v>12749.493333333332</v>
      </c>
      <c r="X9" s="75">
        <f t="shared" si="4"/>
        <v>0.30741882995385567</v>
      </c>
      <c r="Y9" s="76">
        <v>5</v>
      </c>
      <c r="Z9" s="55">
        <f t="shared" si="5"/>
        <v>2760.0400000000004</v>
      </c>
      <c r="AA9" s="77">
        <v>7655.6</v>
      </c>
      <c r="AB9" s="3">
        <f>'[1]межбюджетные трансферты'!D16</f>
        <v>7321.4</v>
      </c>
      <c r="AD9" s="38">
        <v>7541.1</v>
      </c>
      <c r="AE9" s="66">
        <v>1123</v>
      </c>
      <c r="AF9" s="45">
        <f t="shared" si="6"/>
        <v>2760.0400000000004</v>
      </c>
      <c r="AG9" s="55">
        <f t="shared" si="7"/>
        <v>3168.6</v>
      </c>
    </row>
    <row r="10" spans="1:33" s="95" customFormat="1" x14ac:dyDescent="0.25">
      <c r="A10" s="78" t="s">
        <v>21</v>
      </c>
      <c r="B10" s="49">
        <v>157</v>
      </c>
      <c r="C10" s="79"/>
      <c r="D10" s="79"/>
      <c r="E10" s="80">
        <f>ROUND(D13*B10/1000,2)</f>
        <v>204.92</v>
      </c>
      <c r="F10" s="81">
        <v>778</v>
      </c>
      <c r="G10" s="82">
        <f t="shared" si="2"/>
        <v>4955.41</v>
      </c>
      <c r="H10" s="83">
        <f>ROUND(G10/G13,3)</f>
        <v>0.78600000000000003</v>
      </c>
      <c r="I10" s="84">
        <v>12.131</v>
      </c>
      <c r="J10" s="85">
        <f t="shared" si="8"/>
        <v>6.5000000000000002E-2</v>
      </c>
      <c r="K10" s="79"/>
      <c r="L10" s="79"/>
      <c r="M10" s="79"/>
      <c r="N10" s="85">
        <f>M13-J10</f>
        <v>0.8899999999999999</v>
      </c>
      <c r="O10" s="86">
        <f>ROUND(G11*B10*I10*N10,1)</f>
        <v>45673431.700000003</v>
      </c>
      <c r="P10" s="80">
        <f>ROUND(L13/O13*O10,1)</f>
        <v>4772.5</v>
      </c>
      <c r="Q10" s="79"/>
      <c r="R10" s="85">
        <f t="shared" si="9"/>
        <v>0.01</v>
      </c>
      <c r="S10" s="80">
        <f>ROUND(Q13*R10/R13,1)</f>
        <v>13.7</v>
      </c>
      <c r="T10" s="87">
        <f t="shared" si="0"/>
        <v>4991.12</v>
      </c>
      <c r="U10" s="88">
        <f t="shared" si="1"/>
        <v>6.5000000000000002E-2</v>
      </c>
      <c r="V10" s="89">
        <v>6</v>
      </c>
      <c r="W10" s="90">
        <f t="shared" si="3"/>
        <v>36745.987261146496</v>
      </c>
      <c r="X10" s="91">
        <f t="shared" si="4"/>
        <v>0.22404621087223275</v>
      </c>
      <c r="Y10" s="92">
        <v>6</v>
      </c>
      <c r="Z10" s="93">
        <f t="shared" si="5"/>
        <v>341.88000000000011</v>
      </c>
      <c r="AA10" s="94">
        <v>5338.8</v>
      </c>
      <c r="AB10" s="95">
        <f>'[1]межбюджетные трансферты'!D17</f>
        <v>5772.9</v>
      </c>
      <c r="AD10" s="38">
        <v>6111</v>
      </c>
      <c r="AE10" s="81">
        <v>778</v>
      </c>
      <c r="AF10" s="45">
        <f t="shared" si="6"/>
        <v>341.88000000000011</v>
      </c>
      <c r="AG10" s="55">
        <f t="shared" si="7"/>
        <v>4786.2</v>
      </c>
    </row>
    <row r="11" spans="1:33" x14ac:dyDescent="0.25">
      <c r="A11" s="1" t="s">
        <v>22</v>
      </c>
      <c r="B11" s="43">
        <v>109</v>
      </c>
      <c r="C11" s="4"/>
      <c r="D11" s="4"/>
      <c r="E11" s="65">
        <f>ROUND(D13*B11/1000,2)</f>
        <v>142.27000000000001</v>
      </c>
      <c r="F11" s="66">
        <v>2937</v>
      </c>
      <c r="G11" s="96">
        <f>ROUND(F11/B11*1000,2)</f>
        <v>26944.95</v>
      </c>
      <c r="H11" s="68">
        <f>ROUND(G11/G13,)</f>
        <v>4</v>
      </c>
      <c r="I11" s="69">
        <v>4.54</v>
      </c>
      <c r="J11" s="68">
        <f t="shared" si="8"/>
        <v>0.88100000000000001</v>
      </c>
      <c r="K11" s="4"/>
      <c r="L11" s="4"/>
      <c r="M11" s="4"/>
      <c r="N11" s="68">
        <f>M13-J11</f>
        <v>7.3999999999999955E-2</v>
      </c>
      <c r="O11" s="35">
        <f>ROUND(G11*B11*I11*N11,1)</f>
        <v>986714.4</v>
      </c>
      <c r="P11" s="65">
        <f>ROUND(L13/O13*O11,1)</f>
        <v>103.1</v>
      </c>
      <c r="Q11" s="4"/>
      <c r="R11" s="41">
        <f t="shared" si="9"/>
        <v>9.6000000000000002E-2</v>
      </c>
      <c r="S11" s="65">
        <f>ROUND(Q13*R11/R13,1)</f>
        <v>131.6</v>
      </c>
      <c r="T11" s="71">
        <f t="shared" si="0"/>
        <v>376.97</v>
      </c>
      <c r="U11" s="72">
        <f t="shared" si="1"/>
        <v>0.88100000000000001</v>
      </c>
      <c r="V11" s="73">
        <v>2</v>
      </c>
      <c r="W11" s="74">
        <f t="shared" si="3"/>
        <v>30403.394495412846</v>
      </c>
      <c r="X11" s="75">
        <f t="shared" si="4"/>
        <v>1.2299205926999179</v>
      </c>
      <c r="Y11" s="76">
        <v>2</v>
      </c>
      <c r="Z11" s="55">
        <f t="shared" si="5"/>
        <v>2062.83</v>
      </c>
      <c r="AA11" s="77">
        <v>5051.6000000000004</v>
      </c>
      <c r="AB11" s="3">
        <f>'[1]межбюджетные трансферты'!D18</f>
        <v>4961.1000000000004</v>
      </c>
      <c r="AD11" s="38">
        <v>5376.8</v>
      </c>
      <c r="AE11" s="66">
        <v>2937</v>
      </c>
      <c r="AF11" s="45">
        <f t="shared" si="6"/>
        <v>2062.83</v>
      </c>
      <c r="AG11" s="55">
        <f t="shared" si="7"/>
        <v>234.7</v>
      </c>
    </row>
    <row r="12" spans="1:33" x14ac:dyDescent="0.25">
      <c r="A12" s="1" t="s">
        <v>23</v>
      </c>
      <c r="B12" s="43">
        <v>71</v>
      </c>
      <c r="C12" s="4"/>
      <c r="D12" s="4"/>
      <c r="E12" s="65">
        <v>92.66</v>
      </c>
      <c r="F12" s="66">
        <v>445</v>
      </c>
      <c r="G12" s="67">
        <f t="shared" si="2"/>
        <v>6267.61</v>
      </c>
      <c r="H12" s="68">
        <f>ROUND(G12/G13,3)</f>
        <v>0.995</v>
      </c>
      <c r="I12" s="69">
        <v>1.6719999999999999</v>
      </c>
      <c r="J12" s="41">
        <f>ROUND(H12/I12,3)</f>
        <v>0.59499999999999997</v>
      </c>
      <c r="K12" s="4"/>
      <c r="L12" s="4"/>
      <c r="M12" s="4"/>
      <c r="N12" s="41">
        <f>M13-J12</f>
        <v>0.36</v>
      </c>
      <c r="O12" s="35">
        <f>ROUND(G11*B12*I12*N12,1)</f>
        <v>1151528</v>
      </c>
      <c r="P12" s="65">
        <f>ROUND(L13/O13*O12,1)</f>
        <v>120.3</v>
      </c>
      <c r="Q12" s="4"/>
      <c r="R12" s="41">
        <f t="shared" si="9"/>
        <v>4.2000000000000003E-2</v>
      </c>
      <c r="S12" s="65">
        <f>ROUND(Q13*R12/R13,1)</f>
        <v>57.6</v>
      </c>
      <c r="T12" s="71">
        <f t="shared" si="0"/>
        <v>270.56</v>
      </c>
      <c r="U12" s="72">
        <f t="shared" si="1"/>
        <v>0.59499999999999997</v>
      </c>
      <c r="V12" s="73">
        <v>4</v>
      </c>
      <c r="W12" s="74">
        <f t="shared" si="3"/>
        <v>10078.30985915493</v>
      </c>
      <c r="X12" s="75">
        <f t="shared" si="4"/>
        <v>0.88065416399990837</v>
      </c>
      <c r="Y12" s="76">
        <v>3</v>
      </c>
      <c r="Z12" s="55">
        <f t="shared" si="5"/>
        <v>4661.4399999999996</v>
      </c>
      <c r="AA12" s="77">
        <v>5022</v>
      </c>
      <c r="AB12" s="3">
        <f>'[1]межбюджетные трансферты'!D19</f>
        <v>5227.7</v>
      </c>
      <c r="AD12" s="38">
        <v>5377</v>
      </c>
      <c r="AE12" s="66">
        <v>445</v>
      </c>
      <c r="AF12" s="45">
        <f t="shared" si="6"/>
        <v>4661.4399999999996</v>
      </c>
      <c r="AG12" s="55">
        <f t="shared" si="7"/>
        <v>177.9</v>
      </c>
    </row>
    <row r="13" spans="1:33" x14ac:dyDescent="0.25">
      <c r="A13" s="19" t="s">
        <v>17</v>
      </c>
      <c r="B13" s="66">
        <f>B9+B10+B11+B12+B7+B8</f>
        <v>7743</v>
      </c>
      <c r="C13" s="25">
        <v>10106.299999999999</v>
      </c>
      <c r="D13" s="186">
        <f>ROUND(C13/B13*1000,4)</f>
        <v>1305.2175999999999</v>
      </c>
      <c r="E13" s="97">
        <f>SUM(E7:E12)</f>
        <v>10106.294999999998</v>
      </c>
      <c r="F13" s="98">
        <f>SUM(F7:F12)</f>
        <v>48790</v>
      </c>
      <c r="G13" s="99">
        <f t="shared" si="2"/>
        <v>6301.18</v>
      </c>
      <c r="H13" s="29">
        <v>1</v>
      </c>
      <c r="I13" s="69">
        <f>'173 индекс бюджетных расходов'!Y13</f>
        <v>1.478</v>
      </c>
      <c r="J13" s="25">
        <f>ROUND(H13/I13,3)</f>
        <v>0.67700000000000005</v>
      </c>
      <c r="K13" s="25">
        <v>18368.900000000001</v>
      </c>
      <c r="L13" s="66">
        <f>K13*0.5</f>
        <v>9184.4500000000007</v>
      </c>
      <c r="M13" s="70">
        <v>0.95499999999999996</v>
      </c>
      <c r="N13" s="25"/>
      <c r="O13" s="61">
        <f>SUM(O7:O12)</f>
        <v>87895595</v>
      </c>
      <c r="P13" s="97">
        <f>SUM(P7:P12)</f>
        <v>9184.4</v>
      </c>
      <c r="Q13" s="66">
        <f>K13-L13</f>
        <v>9184.4500000000007</v>
      </c>
      <c r="R13" s="41">
        <f>SUM(R7:R12)</f>
        <v>6.6999999999999993</v>
      </c>
      <c r="S13" s="97">
        <f>S9+S10+S11+S12+S7+S8</f>
        <v>9184.5</v>
      </c>
      <c r="T13" s="71">
        <f>E13+P13+S13</f>
        <v>28475.195</v>
      </c>
      <c r="U13" s="4">
        <f t="shared" si="1"/>
        <v>0.67700000000000005</v>
      </c>
      <c r="V13" s="4"/>
      <c r="W13" s="74">
        <f t="shared" si="3"/>
        <v>9978.7156141030609</v>
      </c>
      <c r="X13" s="4">
        <v>1</v>
      </c>
      <c r="Y13" s="4"/>
      <c r="Z13" s="100">
        <f>Z12+Z11+Z10+Z9+Z8+Z7</f>
        <v>13390.705</v>
      </c>
      <c r="AA13" s="101">
        <f t="shared" ref="AA13:AB13" si="10">SUM(AA7:AA12)</f>
        <v>105291.95000000001</v>
      </c>
      <c r="AB13" s="101">
        <f t="shared" si="10"/>
        <v>82974.299999999988</v>
      </c>
      <c r="AC13" s="101"/>
      <c r="AD13" s="102">
        <f>SUM(AD7:AD12)</f>
        <v>90655.900000000009</v>
      </c>
      <c r="AE13" s="102">
        <f t="shared" ref="AE13:AG13" si="11">SUM(AE7:AE12)</f>
        <v>48790</v>
      </c>
      <c r="AF13" s="102">
        <f t="shared" si="11"/>
        <v>13390.705000000002</v>
      </c>
      <c r="AG13" s="102">
        <f t="shared" si="11"/>
        <v>18368.900000000001</v>
      </c>
    </row>
    <row r="14" spans="1:33" x14ac:dyDescent="0.25">
      <c r="T14" s="55">
        <f>T13+F13</f>
        <v>77265.195000000007</v>
      </c>
      <c r="X14" s="3">
        <f>X7/X9</f>
        <v>4.3934257339075042</v>
      </c>
      <c r="Z14" s="45">
        <f>AF13-Z13</f>
        <v>0</v>
      </c>
      <c r="AA14" s="77"/>
      <c r="AB14" s="77"/>
      <c r="AC14" s="77"/>
      <c r="AD14" s="45"/>
      <c r="AE14" s="45"/>
      <c r="AF14" s="45">
        <f>T13+AF13</f>
        <v>41865.9</v>
      </c>
      <c r="AG14" s="3">
        <f t="shared" ref="AG14" si="12">AF14+T14</f>
        <v>119131.095</v>
      </c>
    </row>
    <row r="15" spans="1:33" x14ac:dyDescent="0.25">
      <c r="K15" s="103"/>
      <c r="Q15" s="55">
        <f>P7+S7</f>
        <v>8723.9</v>
      </c>
      <c r="S15" s="173"/>
      <c r="T15" s="174"/>
      <c r="U15" s="175"/>
      <c r="V15" s="173"/>
      <c r="W15" s="175"/>
      <c r="X15" s="175"/>
    </row>
    <row r="16" spans="1:33" ht="18" customHeight="1" x14ac:dyDescent="0.25">
      <c r="A16" s="15"/>
      <c r="B16" s="15"/>
      <c r="C16" s="188"/>
      <c r="D16" s="188"/>
      <c r="E16" s="188"/>
      <c r="F16" s="189"/>
      <c r="G16" s="15"/>
      <c r="K16" s="103"/>
      <c r="Q16" s="55">
        <f t="shared" ref="Q16:Q21" si="13">P8+S8</f>
        <v>1277.6000000000001</v>
      </c>
      <c r="R16" s="170"/>
      <c r="S16" s="176"/>
      <c r="T16" s="174"/>
      <c r="U16" s="177"/>
      <c r="V16" s="178"/>
      <c r="W16" s="179"/>
      <c r="X16" s="180"/>
      <c r="Z16" s="3"/>
      <c r="AD16" s="16"/>
      <c r="AE16" s="3"/>
      <c r="AF16" s="3"/>
    </row>
    <row r="17" spans="1:32" x14ac:dyDescent="0.25">
      <c r="A17" s="15"/>
      <c r="B17" s="190"/>
      <c r="C17" s="15"/>
      <c r="D17" s="15"/>
      <c r="E17" s="15"/>
      <c r="F17" s="191"/>
      <c r="G17" s="15"/>
      <c r="K17" s="103"/>
      <c r="Q17" s="55">
        <f t="shared" si="13"/>
        <v>3168.6</v>
      </c>
      <c r="R17" s="170"/>
      <c r="S17" s="176"/>
      <c r="T17" s="174"/>
      <c r="U17" s="175"/>
      <c r="V17" s="178"/>
      <c r="W17" s="179"/>
      <c r="X17" s="180"/>
      <c r="Z17" s="3"/>
      <c r="AD17" s="16"/>
      <c r="AE17" s="3"/>
      <c r="AF17" s="3"/>
    </row>
    <row r="18" spans="1:32" x14ac:dyDescent="0.25">
      <c r="A18" s="15"/>
      <c r="B18" s="190"/>
      <c r="C18" s="15"/>
      <c r="D18" s="15"/>
      <c r="E18" s="15"/>
      <c r="F18" s="191"/>
      <c r="G18" s="15"/>
      <c r="K18" s="103"/>
      <c r="Q18" s="55">
        <f t="shared" si="13"/>
        <v>4786.2</v>
      </c>
      <c r="R18" s="170"/>
      <c r="S18" s="176"/>
      <c r="T18" s="174"/>
      <c r="U18" s="175"/>
      <c r="V18" s="178"/>
      <c r="W18" s="179"/>
      <c r="X18" s="180"/>
      <c r="Z18" s="3"/>
      <c r="AD18" s="16"/>
      <c r="AE18" s="3"/>
      <c r="AF18" s="3"/>
    </row>
    <row r="19" spans="1:32" x14ac:dyDescent="0.25">
      <c r="A19" s="15"/>
      <c r="B19" s="190"/>
      <c r="C19" s="15"/>
      <c r="D19" s="15"/>
      <c r="E19" s="15"/>
      <c r="F19" s="191"/>
      <c r="G19" s="15"/>
      <c r="K19" s="103"/>
      <c r="Q19" s="55">
        <f t="shared" si="13"/>
        <v>234.7</v>
      </c>
      <c r="R19" s="170"/>
      <c r="S19" s="181"/>
      <c r="T19" s="174"/>
      <c r="U19" s="175"/>
      <c r="V19" s="182"/>
      <c r="W19" s="179"/>
      <c r="X19" s="180"/>
      <c r="Z19" s="3"/>
      <c r="AD19" s="16"/>
      <c r="AE19" s="3"/>
      <c r="AF19" s="3"/>
    </row>
    <row r="20" spans="1:32" x14ac:dyDescent="0.25">
      <c r="A20" s="15"/>
      <c r="B20" s="190"/>
      <c r="C20" s="15"/>
      <c r="D20" s="15"/>
      <c r="E20" s="15"/>
      <c r="F20" s="191"/>
      <c r="G20" s="15"/>
      <c r="K20" s="103"/>
      <c r="Q20" s="55">
        <f t="shared" si="13"/>
        <v>177.9</v>
      </c>
      <c r="R20" s="170"/>
      <c r="S20" s="176"/>
      <c r="T20" s="174"/>
      <c r="U20" s="175"/>
      <c r="V20" s="178"/>
      <c r="W20" s="179"/>
      <c r="X20" s="180"/>
      <c r="Z20" s="3"/>
      <c r="AD20" s="16"/>
      <c r="AE20" s="3"/>
      <c r="AF20" s="3"/>
    </row>
    <row r="21" spans="1:32" x14ac:dyDescent="0.25">
      <c r="A21" s="15"/>
      <c r="B21" s="190"/>
      <c r="C21" s="15"/>
      <c r="D21" s="15"/>
      <c r="E21" s="15"/>
      <c r="F21" s="191"/>
      <c r="G21" s="15"/>
      <c r="K21" s="103"/>
      <c r="Q21" s="55">
        <f t="shared" si="13"/>
        <v>18368.900000000001</v>
      </c>
      <c r="R21" s="170"/>
      <c r="S21" s="176"/>
      <c r="T21" s="174"/>
      <c r="U21" s="175"/>
      <c r="V21" s="178"/>
      <c r="W21" s="179"/>
      <c r="X21" s="180"/>
      <c r="Z21" s="3"/>
      <c r="AD21" s="16"/>
      <c r="AE21" s="3"/>
      <c r="AF21" s="3"/>
    </row>
    <row r="22" spans="1:32" x14ac:dyDescent="0.25">
      <c r="A22" s="15"/>
      <c r="B22" s="190"/>
      <c r="C22" s="15"/>
      <c r="D22" s="15"/>
      <c r="E22" s="15"/>
      <c r="F22" s="191"/>
      <c r="G22" s="15"/>
      <c r="K22" s="103"/>
      <c r="N22" s="103"/>
      <c r="Q22" s="55"/>
      <c r="R22" s="170"/>
      <c r="S22" s="183"/>
      <c r="T22" s="174"/>
      <c r="U22" s="175"/>
      <c r="V22" s="178"/>
      <c r="W22" s="179"/>
      <c r="X22" s="175"/>
      <c r="Z22" s="3"/>
      <c r="AD22" s="3"/>
      <c r="AE22" s="3"/>
      <c r="AF22" s="3"/>
    </row>
    <row r="23" spans="1:32" x14ac:dyDescent="0.25">
      <c r="A23" s="192"/>
      <c r="B23" s="15"/>
      <c r="C23" s="15"/>
      <c r="D23" s="15"/>
      <c r="E23" s="191"/>
      <c r="F23" s="105"/>
      <c r="G23" s="15"/>
      <c r="R23" s="104"/>
      <c r="S23" s="174"/>
      <c r="T23" s="174"/>
      <c r="U23" s="184"/>
      <c r="V23" s="175"/>
      <c r="W23" s="185"/>
      <c r="X23" s="175"/>
      <c r="Z23" s="3"/>
      <c r="AD23" s="3"/>
      <c r="AE23" s="3"/>
      <c r="AF23" s="3"/>
    </row>
    <row r="24" spans="1:32" x14ac:dyDescent="0.25">
      <c r="A24" s="15"/>
      <c r="B24" s="15"/>
      <c r="C24" s="15"/>
      <c r="D24" s="15"/>
      <c r="E24" s="191"/>
      <c r="F24" s="15"/>
      <c r="G24" s="15"/>
      <c r="S24" s="174"/>
      <c r="T24" s="174"/>
      <c r="U24" s="175"/>
      <c r="V24" s="175"/>
      <c r="W24" s="175"/>
      <c r="X24" s="175"/>
    </row>
    <row r="25" spans="1:32" x14ac:dyDescent="0.25">
      <c r="S25" s="174"/>
      <c r="T25" s="174"/>
      <c r="U25" s="175"/>
      <c r="V25" s="175"/>
      <c r="W25" s="175"/>
      <c r="X25" s="175"/>
    </row>
  </sheetData>
  <mergeCells count="2">
    <mergeCell ref="F2:G2"/>
    <mergeCell ref="C3:K3"/>
  </mergeCells>
  <pageMargins left="0.31496062992125984" right="0.11811023622047245" top="0.55118110236220474" bottom="0.55118110236220474" header="0.31496062992125984" footer="0.11811023622047245"/>
  <pageSetup paperSize="9" scale="73" firstPageNumber="171" orientation="landscape" useFirstPageNumber="1" r:id="rId1"/>
  <headerFooter>
    <oddHeader>&amp;C&amp;P</oddHeader>
  </headerFooter>
  <colBreaks count="2" manualBreakCount="2">
    <brk id="13" max="22" man="1"/>
    <brk id="29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14" sqref="E14"/>
    </sheetView>
  </sheetViews>
  <sheetFormatPr defaultRowHeight="12.75" x14ac:dyDescent="0.2"/>
  <cols>
    <col min="1" max="1" width="20.140625" style="124" customWidth="1"/>
    <col min="2" max="2" width="15.7109375" style="124" customWidth="1"/>
    <col min="3" max="3" width="16.42578125" style="124" customWidth="1"/>
    <col min="4" max="4" width="16.7109375" style="124" customWidth="1"/>
    <col min="5" max="5" width="16" style="124" customWidth="1"/>
    <col min="6" max="6" width="19" style="124" customWidth="1"/>
    <col min="7" max="7" width="21.85546875" style="124" customWidth="1"/>
    <col min="8" max="8" width="13" style="124" customWidth="1"/>
    <col min="9" max="16384" width="9.140625" style="124"/>
  </cols>
  <sheetData>
    <row r="1" spans="1:8" ht="29.25" customHeight="1" x14ac:dyDescent="0.25">
      <c r="B1" s="223" t="s">
        <v>156</v>
      </c>
      <c r="C1" s="223"/>
      <c r="D1" s="223"/>
      <c r="E1" s="223"/>
      <c r="F1" s="223"/>
      <c r="G1" s="223"/>
    </row>
    <row r="2" spans="1:8" ht="24.75" customHeight="1" x14ac:dyDescent="0.2">
      <c r="A2" s="141" t="s">
        <v>87</v>
      </c>
    </row>
    <row r="3" spans="1:8" ht="124.5" customHeight="1" x14ac:dyDescent="0.2">
      <c r="A3" s="153" t="s">
        <v>1</v>
      </c>
      <c r="B3" s="153" t="s">
        <v>157</v>
      </c>
      <c r="C3" s="153" t="s">
        <v>84</v>
      </c>
      <c r="D3" s="153" t="s">
        <v>158</v>
      </c>
      <c r="E3" s="153" t="s">
        <v>85</v>
      </c>
      <c r="F3" s="153" t="s">
        <v>159</v>
      </c>
      <c r="G3" s="153" t="s">
        <v>86</v>
      </c>
      <c r="H3" s="153" t="s">
        <v>83</v>
      </c>
    </row>
    <row r="4" spans="1:8" ht="15.75" x14ac:dyDescent="0.2">
      <c r="A4" s="158">
        <v>1</v>
      </c>
      <c r="B4" s="158">
        <v>2</v>
      </c>
      <c r="C4" s="158">
        <v>3</v>
      </c>
      <c r="D4" s="158">
        <v>4</v>
      </c>
      <c r="E4" s="158">
        <v>5</v>
      </c>
      <c r="F4" s="158">
        <v>6</v>
      </c>
      <c r="G4" s="158">
        <v>7</v>
      </c>
      <c r="H4" s="158">
        <v>8</v>
      </c>
    </row>
    <row r="5" spans="1:8" ht="18" customHeight="1" x14ac:dyDescent="0.25">
      <c r="A5" s="146" t="s">
        <v>18</v>
      </c>
      <c r="B5" s="159">
        <v>270.10199999999998</v>
      </c>
      <c r="C5" s="159">
        <f>1+B5/B11</f>
        <v>1.387832961680779</v>
      </c>
      <c r="D5" s="171">
        <v>41</v>
      </c>
      <c r="E5" s="159">
        <f>1+D5/D11</f>
        <v>1.5426151402858657</v>
      </c>
      <c r="F5" s="159">
        <v>49.984000000000002</v>
      </c>
      <c r="G5" s="159">
        <f>1+F5/F11</f>
        <v>1.4970317704966938</v>
      </c>
      <c r="H5" s="159">
        <f>C5*E5*G5</f>
        <v>3.2049835491048051</v>
      </c>
    </row>
    <row r="6" spans="1:8" ht="18" customHeight="1" x14ac:dyDescent="0.25">
      <c r="A6" s="146" t="s">
        <v>19</v>
      </c>
      <c r="B6" s="159">
        <v>94.474999999999994</v>
      </c>
      <c r="C6" s="159">
        <f>1+B6/B11</f>
        <v>1.1356543789190439</v>
      </c>
      <c r="D6" s="171">
        <v>7.15</v>
      </c>
      <c r="E6" s="159">
        <f>1+D6/D11</f>
        <v>1.0946267866596082</v>
      </c>
      <c r="F6" s="159">
        <v>13.368</v>
      </c>
      <c r="G6" s="159">
        <f>1+F6/F11</f>
        <v>1.1329289514244518</v>
      </c>
      <c r="H6" s="159">
        <f t="shared" ref="H6:H10" si="0">C6*E6*G6</f>
        <v>1.4083640363824148</v>
      </c>
    </row>
    <row r="7" spans="1:8" ht="18" customHeight="1" x14ac:dyDescent="0.25">
      <c r="A7" s="146" t="s">
        <v>20</v>
      </c>
      <c r="B7" s="159">
        <v>189.07</v>
      </c>
      <c r="C7" s="159">
        <f>1+B7/B11</f>
        <v>1.2714810629502369</v>
      </c>
      <c r="D7" s="171">
        <v>12.8</v>
      </c>
      <c r="E7" s="159">
        <f>1+D7/D11</f>
        <v>1.169401799894124</v>
      </c>
      <c r="F7" s="159">
        <v>14.6</v>
      </c>
      <c r="G7" s="159">
        <f>1+F7/F11</f>
        <v>1.1451797345000745</v>
      </c>
      <c r="H7" s="159">
        <f t="shared" si="0"/>
        <v>1.7027359610987378</v>
      </c>
    </row>
    <row r="8" spans="1:8" ht="18" customHeight="1" x14ac:dyDescent="0.25">
      <c r="A8" s="146" t="s">
        <v>21</v>
      </c>
      <c r="B8" s="159">
        <v>71.799000000000007</v>
      </c>
      <c r="C8" s="159">
        <f>1+B8/B11</f>
        <v>1.1030944562266043</v>
      </c>
      <c r="D8" s="171">
        <v>2.31</v>
      </c>
      <c r="E8" s="159">
        <f>1+D8/D11</f>
        <v>1.0305717310746427</v>
      </c>
      <c r="F8" s="159">
        <v>9.7460000000000004</v>
      </c>
      <c r="G8" s="159">
        <f>1+F8/F11</f>
        <v>1.0969124446875156</v>
      </c>
      <c r="H8" s="159">
        <f t="shared" si="0"/>
        <v>1.2469897712796316</v>
      </c>
    </row>
    <row r="9" spans="1:8" ht="18" customHeight="1" x14ac:dyDescent="0.25">
      <c r="A9" s="146" t="s">
        <v>22</v>
      </c>
      <c r="B9" s="159">
        <v>29.792999999999999</v>
      </c>
      <c r="C9" s="159">
        <f>1+B9/B11</f>
        <v>1.0427790517188154</v>
      </c>
      <c r="D9" s="171">
        <v>6</v>
      </c>
      <c r="E9" s="159">
        <f>1+D9/D11</f>
        <v>1.0794070937003706</v>
      </c>
      <c r="F9" s="159">
        <v>6</v>
      </c>
      <c r="G9" s="159">
        <f>1+F9/F11</f>
        <v>1.0596629045890718</v>
      </c>
      <c r="H9" s="159">
        <f t="shared" si="0"/>
        <v>1.1927386630231689</v>
      </c>
    </row>
    <row r="10" spans="1:8" ht="18" customHeight="1" x14ac:dyDescent="0.25">
      <c r="A10" s="146" t="s">
        <v>23</v>
      </c>
      <c r="B10" s="159">
        <v>41.2</v>
      </c>
      <c r="C10" s="159">
        <f>1+B10/B11</f>
        <v>1.0591580885045209</v>
      </c>
      <c r="D10" s="171">
        <v>6.3</v>
      </c>
      <c r="E10" s="159">
        <f>1+D10/D11</f>
        <v>1.0833774483853891</v>
      </c>
      <c r="F10" s="159">
        <v>6.867</v>
      </c>
      <c r="G10" s="159">
        <f>1+F10/F11</f>
        <v>1.0682841943021926</v>
      </c>
      <c r="H10" s="159">
        <f t="shared" si="0"/>
        <v>1.2258219143652627</v>
      </c>
    </row>
    <row r="11" spans="1:8" ht="18" customHeight="1" x14ac:dyDescent="0.25">
      <c r="A11" s="160" t="s">
        <v>17</v>
      </c>
      <c r="B11" s="159">
        <f>SUM(B5:B10)</f>
        <v>696.43899999999996</v>
      </c>
      <c r="C11" s="160"/>
      <c r="D11" s="171">
        <f>SUM(D5:D10)</f>
        <v>75.56</v>
      </c>
      <c r="E11" s="160"/>
      <c r="F11" s="160">
        <f>SUM(F5:F10)</f>
        <v>100.565</v>
      </c>
      <c r="G11" s="160"/>
      <c r="H11" s="160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182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D5" sqref="D5:D6"/>
    </sheetView>
  </sheetViews>
  <sheetFormatPr defaultRowHeight="12.75" x14ac:dyDescent="0.2"/>
  <cols>
    <col min="1" max="1" width="24" style="124" customWidth="1"/>
    <col min="2" max="2" width="20.42578125" style="124" customWidth="1"/>
    <col min="3" max="4" width="22" style="124" customWidth="1"/>
    <col min="5" max="5" width="26.140625" style="124" customWidth="1"/>
    <col min="6" max="6" width="18.7109375" style="124" customWidth="1"/>
    <col min="7" max="16384" width="9.140625" style="124"/>
  </cols>
  <sheetData>
    <row r="1" spans="1:7" ht="15.75" x14ac:dyDescent="0.25">
      <c r="A1" s="224" t="s">
        <v>24</v>
      </c>
      <c r="B1" s="224"/>
      <c r="C1" s="224"/>
      <c r="D1" s="224"/>
      <c r="E1" s="224"/>
      <c r="F1" s="224"/>
      <c r="G1" s="31"/>
    </row>
    <row r="2" spans="1:7" ht="15.75" x14ac:dyDescent="0.25">
      <c r="A2" s="161"/>
      <c r="B2" s="161"/>
      <c r="C2" s="161"/>
      <c r="D2" s="161"/>
      <c r="E2" s="161"/>
      <c r="F2" s="161"/>
      <c r="G2" s="31"/>
    </row>
    <row r="3" spans="1:7" ht="15.75" x14ac:dyDescent="0.25">
      <c r="A3" s="225" t="s">
        <v>160</v>
      </c>
      <c r="B3" s="225"/>
      <c r="C3" s="225"/>
      <c r="D3" s="225"/>
      <c r="E3" s="225"/>
      <c r="F3" s="225"/>
      <c r="G3" s="31"/>
    </row>
    <row r="4" spans="1:7" ht="15.75" x14ac:dyDescent="0.25">
      <c r="A4" s="162" t="s">
        <v>88</v>
      </c>
      <c r="B4" s="162"/>
      <c r="C4" s="162"/>
      <c r="D4" s="162"/>
      <c r="E4" s="162"/>
      <c r="F4" s="162"/>
      <c r="G4" s="31"/>
    </row>
    <row r="5" spans="1:7" ht="15.75" x14ac:dyDescent="0.25">
      <c r="A5" s="219" t="s">
        <v>25</v>
      </c>
      <c r="B5" s="219" t="s">
        <v>161</v>
      </c>
      <c r="C5" s="219" t="s">
        <v>162</v>
      </c>
      <c r="D5" s="219" t="s">
        <v>29</v>
      </c>
      <c r="E5" s="219" t="s">
        <v>30</v>
      </c>
      <c r="F5" s="219" t="s">
        <v>89</v>
      </c>
      <c r="G5" s="31"/>
    </row>
    <row r="6" spans="1:7" ht="82.5" customHeight="1" x14ac:dyDescent="0.25">
      <c r="A6" s="219"/>
      <c r="B6" s="219"/>
      <c r="C6" s="219"/>
      <c r="D6" s="219"/>
      <c r="E6" s="219"/>
      <c r="F6" s="219"/>
      <c r="G6" s="31"/>
    </row>
    <row r="7" spans="1:7" ht="15.75" x14ac:dyDescent="0.25">
      <c r="A7" s="144">
        <v>1</v>
      </c>
      <c r="B7" s="145">
        <v>2</v>
      </c>
      <c r="C7" s="145">
        <v>3</v>
      </c>
      <c r="D7" s="145">
        <v>4</v>
      </c>
      <c r="E7" s="145">
        <v>5</v>
      </c>
      <c r="F7" s="145">
        <v>6</v>
      </c>
      <c r="G7" s="31"/>
    </row>
    <row r="8" spans="1:7" ht="18" customHeight="1" x14ac:dyDescent="0.3">
      <c r="A8" s="146" t="s">
        <v>18</v>
      </c>
      <c r="B8" s="112">
        <v>6642</v>
      </c>
      <c r="C8" s="163">
        <v>7244.2</v>
      </c>
      <c r="D8" s="164">
        <f>C8/B8</f>
        <v>1.0906654622101777</v>
      </c>
      <c r="E8" s="164"/>
      <c r="F8" s="165">
        <f>ROUND(D8/E14,3)</f>
        <v>0.499</v>
      </c>
      <c r="G8" s="31"/>
    </row>
    <row r="9" spans="1:7" ht="18.75" x14ac:dyDescent="0.3">
      <c r="A9" s="146" t="s">
        <v>19</v>
      </c>
      <c r="B9" s="112">
        <v>365</v>
      </c>
      <c r="C9" s="163">
        <v>915</v>
      </c>
      <c r="D9" s="164">
        <f t="shared" ref="D9:D13" si="0">C9/B9</f>
        <v>2.506849315068493</v>
      </c>
      <c r="E9" s="164"/>
      <c r="F9" s="165">
        <f>ROUND(D9/E14,3)</f>
        <v>1.1459999999999999</v>
      </c>
      <c r="G9" s="31"/>
    </row>
    <row r="10" spans="1:7" ht="18" customHeight="1" x14ac:dyDescent="0.3">
      <c r="A10" s="146" t="s">
        <v>20</v>
      </c>
      <c r="B10" s="112">
        <v>372</v>
      </c>
      <c r="C10" s="163">
        <v>3311.8</v>
      </c>
      <c r="D10" s="164">
        <f t="shared" si="0"/>
        <v>8.9026881720430104</v>
      </c>
      <c r="E10" s="164"/>
      <c r="F10" s="165">
        <f>ROUND(D10/E14,)</f>
        <v>4</v>
      </c>
      <c r="G10" s="31"/>
    </row>
    <row r="11" spans="1:7" ht="18" customHeight="1" x14ac:dyDescent="0.3">
      <c r="A11" s="146" t="s">
        <v>21</v>
      </c>
      <c r="B11" s="112">
        <v>152</v>
      </c>
      <c r="C11" s="163">
        <v>898</v>
      </c>
      <c r="D11" s="164">
        <f t="shared" si="0"/>
        <v>5.9078947368421053</v>
      </c>
      <c r="E11" s="164"/>
      <c r="F11" s="165">
        <f>ROUND(D11/E14,3)</f>
        <v>2.7010000000000001</v>
      </c>
      <c r="G11" s="31"/>
    </row>
    <row r="12" spans="1:7" ht="18" customHeight="1" x14ac:dyDescent="0.3">
      <c r="A12" s="146" t="s">
        <v>22</v>
      </c>
      <c r="B12" s="112">
        <v>107</v>
      </c>
      <c r="C12" s="163">
        <v>3885.7</v>
      </c>
      <c r="D12" s="164">
        <f t="shared" si="0"/>
        <v>36.314953271028038</v>
      </c>
      <c r="E12" s="164"/>
      <c r="F12" s="165">
        <f>ROUND(D12/E14,3)</f>
        <v>16.605</v>
      </c>
      <c r="G12" s="31"/>
    </row>
    <row r="13" spans="1:7" ht="18" customHeight="1" x14ac:dyDescent="0.3">
      <c r="A13" s="146" t="s">
        <v>23</v>
      </c>
      <c r="B13" s="112">
        <v>68</v>
      </c>
      <c r="C13" s="163">
        <v>600</v>
      </c>
      <c r="D13" s="164">
        <f t="shared" si="0"/>
        <v>8.8235294117647065</v>
      </c>
      <c r="E13" s="164"/>
      <c r="F13" s="165">
        <f>ROUND(D13/E14,3)</f>
        <v>4.0350000000000001</v>
      </c>
      <c r="G13" s="31"/>
    </row>
    <row r="14" spans="1:7" ht="15.75" x14ac:dyDescent="0.25">
      <c r="A14" s="166" t="s">
        <v>17</v>
      </c>
      <c r="B14" s="167">
        <f>B8+B9+B10+B11+B12+B13</f>
        <v>7706</v>
      </c>
      <c r="C14" s="167">
        <f>C8+C9+C10+C11+C12+C13</f>
        <v>16854.7</v>
      </c>
      <c r="D14" s="168">
        <f>C14/B14</f>
        <v>2.187217752400727</v>
      </c>
      <c r="E14" s="168">
        <f>ROUND(C14/B14,3)</f>
        <v>2.1869999999999998</v>
      </c>
      <c r="F14" s="168"/>
      <c r="G14" s="31"/>
    </row>
    <row r="15" spans="1:7" ht="15.75" x14ac:dyDescent="0.25">
      <c r="A15" s="31"/>
      <c r="B15" s="31"/>
      <c r="C15" s="31"/>
      <c r="D15" s="31"/>
      <c r="E15" s="31"/>
      <c r="F15" s="31"/>
      <c r="G15" s="31"/>
    </row>
    <row r="16" spans="1:7" ht="15.75" x14ac:dyDescent="0.25">
      <c r="A16" s="31" t="s">
        <v>90</v>
      </c>
      <c r="B16" s="31"/>
      <c r="C16" s="31"/>
      <c r="D16" s="31"/>
      <c r="E16" s="31"/>
      <c r="F16" s="31"/>
      <c r="G16" s="31"/>
    </row>
    <row r="17" spans="1:7" ht="15.75" x14ac:dyDescent="0.25">
      <c r="A17" s="31"/>
      <c r="B17" s="31"/>
      <c r="C17" s="31"/>
      <c r="D17" s="31"/>
      <c r="E17" s="31"/>
      <c r="F17" s="31"/>
      <c r="G17" s="31"/>
    </row>
    <row r="18" spans="1:7" ht="15.75" x14ac:dyDescent="0.25">
      <c r="A18" s="31" t="s">
        <v>39</v>
      </c>
      <c r="B18" s="31"/>
      <c r="C18" s="31"/>
      <c r="D18" s="31"/>
      <c r="E18" s="31"/>
      <c r="F18" s="31"/>
      <c r="G18" s="31"/>
    </row>
    <row r="19" spans="1:7" ht="15.75" x14ac:dyDescent="0.25">
      <c r="A19" s="31" t="s">
        <v>40</v>
      </c>
      <c r="B19" s="31"/>
      <c r="C19" s="31"/>
      <c r="D19" s="31"/>
      <c r="E19" s="31"/>
      <c r="F19" s="31"/>
      <c r="G19" s="31"/>
    </row>
    <row r="20" spans="1:7" ht="15.75" x14ac:dyDescent="0.25">
      <c r="A20" s="31"/>
      <c r="B20" s="31"/>
      <c r="C20" s="31"/>
      <c r="D20" s="31"/>
      <c r="E20" s="31"/>
      <c r="F20" s="31"/>
      <c r="G20" s="31"/>
    </row>
  </sheetData>
  <mergeCells count="8">
    <mergeCell ref="A1:F1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183" orientation="landscape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21" sqref="E18:E21"/>
    </sheetView>
  </sheetViews>
  <sheetFormatPr defaultRowHeight="12.75" x14ac:dyDescent="0.2"/>
  <cols>
    <col min="1" max="1" width="28.140625" style="124" customWidth="1"/>
    <col min="2" max="2" width="16.140625" style="124" customWidth="1"/>
    <col min="3" max="3" width="24" style="124" customWidth="1"/>
    <col min="4" max="4" width="25.28515625" style="124" customWidth="1"/>
    <col min="5" max="16384" width="9.140625" style="124"/>
  </cols>
  <sheetData>
    <row r="1" spans="1:6" ht="15.75" x14ac:dyDescent="0.25">
      <c r="A1" s="31"/>
      <c r="B1" s="31"/>
      <c r="C1" s="218" t="s">
        <v>0</v>
      </c>
      <c r="D1" s="218"/>
      <c r="E1" s="31"/>
      <c r="F1" s="31"/>
    </row>
    <row r="2" spans="1:6" ht="15.75" x14ac:dyDescent="0.25">
      <c r="A2" s="218" t="s">
        <v>27</v>
      </c>
      <c r="B2" s="218"/>
      <c r="C2" s="218"/>
      <c r="D2" s="218"/>
      <c r="E2" s="218"/>
      <c r="F2" s="218"/>
    </row>
    <row r="3" spans="1:6" ht="15.75" x14ac:dyDescent="0.25">
      <c r="A3" s="218" t="s">
        <v>140</v>
      </c>
      <c r="B3" s="218"/>
      <c r="C3" s="218"/>
      <c r="D3" s="218"/>
      <c r="E3" s="218"/>
      <c r="F3" s="218"/>
    </row>
    <row r="4" spans="1:6" ht="15.75" x14ac:dyDescent="0.25">
      <c r="A4" s="31"/>
      <c r="B4" s="31"/>
      <c r="C4" s="31"/>
      <c r="D4" s="31"/>
      <c r="E4" s="31"/>
      <c r="F4" s="31"/>
    </row>
    <row r="5" spans="1:6" ht="15.75" x14ac:dyDescent="0.25">
      <c r="A5" s="31" t="s">
        <v>92</v>
      </c>
      <c r="B5" s="31"/>
      <c r="C5" s="31"/>
      <c r="D5" s="31"/>
      <c r="E5" s="31"/>
      <c r="F5" s="31"/>
    </row>
    <row r="6" spans="1:6" ht="109.5" customHeight="1" x14ac:dyDescent="0.25">
      <c r="A6" s="153" t="s">
        <v>1</v>
      </c>
      <c r="B6" s="153" t="s">
        <v>163</v>
      </c>
      <c r="C6" s="153" t="s">
        <v>164</v>
      </c>
      <c r="D6" s="153" t="s">
        <v>91</v>
      </c>
      <c r="E6" s="31"/>
      <c r="F6" s="31"/>
    </row>
    <row r="7" spans="1:6" ht="15.75" x14ac:dyDescent="0.25">
      <c r="A7" s="145">
        <v>1</v>
      </c>
      <c r="B7" s="145">
        <v>2</v>
      </c>
      <c r="C7" s="145">
        <v>3</v>
      </c>
      <c r="D7" s="145">
        <v>4</v>
      </c>
      <c r="E7" s="31"/>
      <c r="F7" s="31"/>
    </row>
    <row r="8" spans="1:6" ht="19.5" customHeight="1" x14ac:dyDescent="0.3">
      <c r="A8" s="146" t="s">
        <v>18</v>
      </c>
      <c r="B8" s="112">
        <v>6642</v>
      </c>
      <c r="C8" s="145">
        <v>6579</v>
      </c>
      <c r="D8" s="164">
        <f>1+ROUND((B8-C8)/B8,3)</f>
        <v>1.0089999999999999</v>
      </c>
      <c r="E8" s="31"/>
      <c r="F8" s="31"/>
    </row>
    <row r="9" spans="1:6" ht="19.5" customHeight="1" x14ac:dyDescent="0.3">
      <c r="A9" s="146" t="s">
        <v>19</v>
      </c>
      <c r="B9" s="112">
        <v>365</v>
      </c>
      <c r="C9" s="112">
        <v>365</v>
      </c>
      <c r="D9" s="164">
        <f t="shared" ref="D9:D14" si="0">1+(B9-C9)/B9</f>
        <v>1</v>
      </c>
      <c r="E9" s="31"/>
      <c r="F9" s="31"/>
    </row>
    <row r="10" spans="1:6" ht="19.5" customHeight="1" x14ac:dyDescent="0.3">
      <c r="A10" s="146" t="s">
        <v>20</v>
      </c>
      <c r="B10" s="112">
        <v>372</v>
      </c>
      <c r="C10" s="112">
        <v>372</v>
      </c>
      <c r="D10" s="164">
        <f t="shared" si="0"/>
        <v>1</v>
      </c>
      <c r="E10" s="31"/>
      <c r="F10" s="31"/>
    </row>
    <row r="11" spans="1:6" ht="19.5" customHeight="1" x14ac:dyDescent="0.3">
      <c r="A11" s="146" t="s">
        <v>21</v>
      </c>
      <c r="B11" s="112">
        <v>152</v>
      </c>
      <c r="C11" s="112">
        <v>152</v>
      </c>
      <c r="D11" s="164">
        <f t="shared" si="0"/>
        <v>1</v>
      </c>
      <c r="E11" s="31"/>
      <c r="F11" s="31"/>
    </row>
    <row r="12" spans="1:6" ht="19.5" customHeight="1" x14ac:dyDescent="0.3">
      <c r="A12" s="146" t="s">
        <v>22</v>
      </c>
      <c r="B12" s="112">
        <v>107</v>
      </c>
      <c r="C12" s="112">
        <v>107</v>
      </c>
      <c r="D12" s="164">
        <f t="shared" si="0"/>
        <v>1</v>
      </c>
      <c r="E12" s="31"/>
      <c r="F12" s="31"/>
    </row>
    <row r="13" spans="1:6" ht="19.5" customHeight="1" x14ac:dyDescent="0.3">
      <c r="A13" s="146" t="s">
        <v>23</v>
      </c>
      <c r="B13" s="112">
        <v>68</v>
      </c>
      <c r="C13" s="145">
        <v>54</v>
      </c>
      <c r="D13" s="164">
        <f>1+ROUND((B13-C13)/B13,3)</f>
        <v>1.206</v>
      </c>
      <c r="E13" s="31"/>
      <c r="F13" s="31"/>
    </row>
    <row r="14" spans="1:6" ht="15.75" x14ac:dyDescent="0.25">
      <c r="A14" s="169" t="s">
        <v>17</v>
      </c>
      <c r="B14" s="145">
        <f>B10+B11+B12+B13+B8+B9</f>
        <v>7706</v>
      </c>
      <c r="C14" s="145">
        <f>C10+C11+C12+C13+C8+C9</f>
        <v>7629</v>
      </c>
      <c r="D14" s="164">
        <f t="shared" si="0"/>
        <v>1.0099922138593305</v>
      </c>
      <c r="E14" s="31"/>
      <c r="F14" s="31"/>
    </row>
    <row r="15" spans="1:6" ht="15.75" x14ac:dyDescent="0.25">
      <c r="A15" s="31"/>
      <c r="B15" s="31"/>
      <c r="C15" s="31"/>
      <c r="D15" s="31"/>
      <c r="E15" s="31"/>
      <c r="F15" s="31"/>
    </row>
  </sheetData>
  <mergeCells count="3">
    <mergeCell ref="C1:D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85" firstPageNumber="184" orientation="portrait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20"/>
  <sheetViews>
    <sheetView tabSelected="1" view="pageBreakPreview" topLeftCell="A4" zoomScale="60" zoomScaleNormal="100" workbookViewId="0">
      <selection activeCell="J9" sqref="J9:J10"/>
    </sheetView>
  </sheetViews>
  <sheetFormatPr defaultRowHeight="12.75" x14ac:dyDescent="0.2"/>
  <cols>
    <col min="1" max="1" width="13.5703125" customWidth="1"/>
    <col min="2" max="2" width="13" customWidth="1"/>
    <col min="3" max="4" width="12.7109375" customWidth="1"/>
    <col min="5" max="5" width="15" customWidth="1"/>
    <col min="6" max="6" width="12.140625" customWidth="1"/>
    <col min="7" max="7" width="14" customWidth="1"/>
    <col min="8" max="8" width="13.85546875" customWidth="1"/>
    <col min="9" max="9" width="10.140625" bestFit="1" customWidth="1"/>
    <col min="11" max="11" width="11.5703125" customWidth="1"/>
  </cols>
  <sheetData>
    <row r="6" spans="1:11" ht="17.25" customHeight="1" x14ac:dyDescent="0.2">
      <c r="B6" s="209" t="s">
        <v>146</v>
      </c>
      <c r="C6" s="231"/>
      <c r="D6" s="231"/>
      <c r="E6" s="231"/>
      <c r="F6" s="231"/>
      <c r="G6" s="231"/>
      <c r="H6" s="231"/>
    </row>
    <row r="8" spans="1:11" x14ac:dyDescent="0.2">
      <c r="B8" s="231"/>
      <c r="C8" s="231"/>
      <c r="D8" s="231"/>
      <c r="E8" s="231"/>
      <c r="F8" s="231"/>
      <c r="G8" s="231"/>
      <c r="H8" s="231"/>
    </row>
    <row r="10" spans="1:11" x14ac:dyDescent="0.2">
      <c r="A10" s="232" t="s">
        <v>131</v>
      </c>
      <c r="B10" s="226" t="s">
        <v>168</v>
      </c>
      <c r="C10" s="226" t="s">
        <v>169</v>
      </c>
      <c r="D10" s="226" t="s">
        <v>170</v>
      </c>
      <c r="E10" s="226" t="s">
        <v>136</v>
      </c>
      <c r="F10" s="228"/>
      <c r="G10" s="229"/>
      <c r="H10" s="230"/>
    </row>
    <row r="11" spans="1:11" ht="76.5" x14ac:dyDescent="0.2">
      <c r="A11" s="227"/>
      <c r="B11" s="227"/>
      <c r="C11" s="227"/>
      <c r="D11" s="227"/>
      <c r="E11" s="227"/>
      <c r="F11" s="47" t="s">
        <v>132</v>
      </c>
      <c r="G11" s="51" t="s">
        <v>141</v>
      </c>
      <c r="H11" s="47" t="s">
        <v>133</v>
      </c>
    </row>
    <row r="12" spans="1:11" s="48" customFormat="1" x14ac:dyDescent="0.2">
      <c r="A12" s="50">
        <v>1</v>
      </c>
      <c r="B12" s="50">
        <v>2</v>
      </c>
      <c r="C12" s="50">
        <v>3</v>
      </c>
      <c r="D12" s="50">
        <v>4</v>
      </c>
      <c r="E12" s="50">
        <v>7</v>
      </c>
      <c r="F12" s="50">
        <v>8</v>
      </c>
      <c r="G12" s="50">
        <v>9</v>
      </c>
      <c r="H12" s="50">
        <v>10</v>
      </c>
    </row>
    <row r="13" spans="1:11" ht="15.75" x14ac:dyDescent="0.25">
      <c r="A13" s="46" t="s">
        <v>18</v>
      </c>
      <c r="B13" s="38">
        <v>58875.4</v>
      </c>
      <c r="C13" s="52">
        <f t="shared" ref="C13:C18" si="0">SUM(D13,E13)</f>
        <v>59832.34</v>
      </c>
      <c r="D13" s="52">
        <v>41932</v>
      </c>
      <c r="E13" s="52">
        <f>SUM(F13:H13)</f>
        <v>17900.34</v>
      </c>
      <c r="F13" s="52">
        <v>8723.9</v>
      </c>
      <c r="G13" s="52">
        <v>8697.9699999999993</v>
      </c>
      <c r="H13" s="52">
        <v>478.47</v>
      </c>
      <c r="I13" s="53">
        <f t="shared" ref="I13:I18" si="1">C13-B13</f>
        <v>956.93999999999505</v>
      </c>
      <c r="K13" s="53"/>
    </row>
    <row r="14" spans="1:11" ht="15.75" x14ac:dyDescent="0.25">
      <c r="A14" s="46" t="s">
        <v>134</v>
      </c>
      <c r="B14" s="38">
        <v>7374.6</v>
      </c>
      <c r="C14" s="52">
        <f t="shared" si="0"/>
        <v>7374.6</v>
      </c>
      <c r="D14" s="52">
        <v>1575</v>
      </c>
      <c r="E14" s="52">
        <f t="shared" ref="E14:E18" si="2">SUM(F14:H14)</f>
        <v>5799.6</v>
      </c>
      <c r="F14" s="52">
        <v>1277.5999999999999</v>
      </c>
      <c r="G14" s="52">
        <v>479.02</v>
      </c>
      <c r="H14" s="52">
        <v>4042.98</v>
      </c>
      <c r="I14" s="53">
        <f t="shared" si="1"/>
        <v>0</v>
      </c>
      <c r="K14" s="53"/>
    </row>
    <row r="15" spans="1:11" ht="15.75" x14ac:dyDescent="0.25">
      <c r="A15" s="46" t="s">
        <v>20</v>
      </c>
      <c r="B15" s="38">
        <v>7541.1</v>
      </c>
      <c r="C15" s="52">
        <f t="shared" si="0"/>
        <v>7541.1</v>
      </c>
      <c r="D15" s="52">
        <v>1123</v>
      </c>
      <c r="E15" s="52">
        <f t="shared" si="2"/>
        <v>6418.1</v>
      </c>
      <c r="F15" s="52">
        <v>3168.6</v>
      </c>
      <c r="G15" s="52">
        <v>489.46</v>
      </c>
      <c r="H15" s="52">
        <v>2760.04</v>
      </c>
      <c r="I15" s="53">
        <f t="shared" si="1"/>
        <v>0</v>
      </c>
      <c r="K15" s="53"/>
    </row>
    <row r="16" spans="1:11" ht="15.75" x14ac:dyDescent="0.25">
      <c r="A16" s="46" t="s">
        <v>21</v>
      </c>
      <c r="B16" s="38">
        <v>6111</v>
      </c>
      <c r="C16" s="52">
        <f t="shared" si="0"/>
        <v>6111</v>
      </c>
      <c r="D16" s="52">
        <v>778</v>
      </c>
      <c r="E16" s="52">
        <f t="shared" si="2"/>
        <v>5333</v>
      </c>
      <c r="F16" s="52">
        <v>4786.2</v>
      </c>
      <c r="G16" s="52">
        <v>204.92</v>
      </c>
      <c r="H16" s="52">
        <v>341.88</v>
      </c>
      <c r="I16" s="53">
        <f t="shared" si="1"/>
        <v>0</v>
      </c>
      <c r="K16" s="53"/>
    </row>
    <row r="17" spans="1:11" ht="15.75" x14ac:dyDescent="0.25">
      <c r="A17" s="46" t="s">
        <v>22</v>
      </c>
      <c r="B17" s="38">
        <v>5376.8</v>
      </c>
      <c r="C17" s="52">
        <f t="shared" si="0"/>
        <v>5376.8</v>
      </c>
      <c r="D17" s="52">
        <v>2937</v>
      </c>
      <c r="E17" s="52">
        <f t="shared" si="2"/>
        <v>2439.8000000000002</v>
      </c>
      <c r="F17" s="52">
        <v>234.7</v>
      </c>
      <c r="G17" s="52">
        <v>142.27000000000001</v>
      </c>
      <c r="H17" s="52">
        <v>2062.83</v>
      </c>
      <c r="I17" s="53">
        <f t="shared" si="1"/>
        <v>0</v>
      </c>
      <c r="K17" s="53"/>
    </row>
    <row r="18" spans="1:11" ht="15.75" x14ac:dyDescent="0.25">
      <c r="A18" s="46" t="s">
        <v>23</v>
      </c>
      <c r="B18" s="38">
        <v>5377</v>
      </c>
      <c r="C18" s="52">
        <f t="shared" si="0"/>
        <v>5377</v>
      </c>
      <c r="D18" s="52">
        <v>445</v>
      </c>
      <c r="E18" s="52">
        <f t="shared" si="2"/>
        <v>4932</v>
      </c>
      <c r="F18" s="52">
        <v>177.9</v>
      </c>
      <c r="G18" s="52">
        <v>92.66</v>
      </c>
      <c r="H18" s="52">
        <v>4661.4399999999996</v>
      </c>
      <c r="I18" s="53">
        <f t="shared" si="1"/>
        <v>0</v>
      </c>
      <c r="K18" s="53"/>
    </row>
    <row r="19" spans="1:11" x14ac:dyDescent="0.2">
      <c r="A19" s="46"/>
      <c r="B19" s="52"/>
      <c r="C19" s="52"/>
      <c r="D19" s="52"/>
      <c r="E19" s="52"/>
      <c r="F19" s="52"/>
      <c r="G19" s="52"/>
      <c r="H19" s="52"/>
      <c r="K19" s="53"/>
    </row>
    <row r="20" spans="1:11" x14ac:dyDescent="0.2">
      <c r="A20" s="46" t="s">
        <v>135</v>
      </c>
      <c r="B20" s="52">
        <f>SUM(B13:B18)</f>
        <v>90655.900000000009</v>
      </c>
      <c r="C20" s="52">
        <f t="shared" ref="C20:I20" si="3">SUM(C13:C18)</f>
        <v>91612.840000000011</v>
      </c>
      <c r="D20" s="52">
        <f t="shared" si="3"/>
        <v>48790</v>
      </c>
      <c r="E20" s="52">
        <f t="shared" si="3"/>
        <v>42822.840000000004</v>
      </c>
      <c r="F20" s="52">
        <f t="shared" si="3"/>
        <v>18368.900000000001</v>
      </c>
      <c r="G20" s="52">
        <f t="shared" si="3"/>
        <v>10106.299999999999</v>
      </c>
      <c r="H20" s="52">
        <f t="shared" si="3"/>
        <v>14347.64</v>
      </c>
      <c r="I20" s="52">
        <f t="shared" si="3"/>
        <v>956.93999999999505</v>
      </c>
      <c r="K20" s="53"/>
    </row>
  </sheetData>
  <mergeCells count="8">
    <mergeCell ref="E10:E11"/>
    <mergeCell ref="F10:H10"/>
    <mergeCell ref="B6:H6"/>
    <mergeCell ref="A10:A11"/>
    <mergeCell ref="B8:H8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firstPageNumber="185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workbookViewId="0">
      <selection activeCell="B4" sqref="B4:F4"/>
    </sheetView>
  </sheetViews>
  <sheetFormatPr defaultRowHeight="15.75" x14ac:dyDescent="0.25"/>
  <cols>
    <col min="1" max="1" width="19.28515625" style="3" customWidth="1"/>
    <col min="2" max="2" width="10.85546875" style="16" customWidth="1"/>
    <col min="3" max="3" width="15" style="3" customWidth="1"/>
    <col min="4" max="4" width="10" style="3" customWidth="1"/>
    <col min="5" max="5" width="9.85546875" style="3" customWidth="1"/>
    <col min="6" max="6" width="9" style="3" customWidth="1"/>
    <col min="7" max="7" width="10.28515625" style="3" customWidth="1"/>
    <col min="8" max="8" width="14.28515625" style="3" customWidth="1"/>
    <col min="9" max="9" width="10.42578125" style="3" customWidth="1"/>
    <col min="10" max="10" width="9.7109375" style="3" customWidth="1"/>
    <col min="11" max="11" width="8.7109375" style="3" customWidth="1"/>
    <col min="12" max="12" width="10.140625" style="3" customWidth="1"/>
    <col min="13" max="13" width="15.28515625" style="3" customWidth="1"/>
    <col min="14" max="14" width="10" style="3" customWidth="1"/>
    <col min="15" max="15" width="10.7109375" style="3" customWidth="1"/>
    <col min="16" max="16" width="10.5703125" style="3" customWidth="1"/>
    <col min="17" max="17" width="11.140625" style="3" customWidth="1"/>
    <col min="18" max="18" width="10.42578125" style="3" customWidth="1"/>
    <col min="19" max="19" width="13" style="3" customWidth="1"/>
    <col min="20" max="20" width="10.28515625" style="3" customWidth="1"/>
    <col min="21" max="21" width="10.85546875" style="3" customWidth="1"/>
    <col min="22" max="22" width="16.140625" style="3" customWidth="1"/>
    <col min="23" max="23" width="9.7109375" style="3" customWidth="1"/>
    <col min="24" max="24" width="12" style="3" customWidth="1"/>
    <col min="25" max="25" width="16.5703125" style="3" customWidth="1"/>
    <col min="26" max="16384" width="9.140625" style="3"/>
  </cols>
  <sheetData>
    <row r="1" spans="1:26" x14ac:dyDescent="0.25">
      <c r="E1" s="193" t="s">
        <v>0</v>
      </c>
      <c r="F1" s="193"/>
      <c r="G1" s="193"/>
    </row>
    <row r="2" spans="1:26" x14ac:dyDescent="0.25">
      <c r="C2" s="193" t="s">
        <v>165</v>
      </c>
      <c r="D2" s="193"/>
      <c r="E2" s="193"/>
      <c r="F2" s="193"/>
      <c r="G2" s="193"/>
      <c r="H2" s="193"/>
      <c r="I2" s="193"/>
    </row>
    <row r="4" spans="1:26" ht="97.5" customHeight="1" x14ac:dyDescent="0.25">
      <c r="A4" s="198" t="s">
        <v>1</v>
      </c>
      <c r="B4" s="195" t="s">
        <v>2</v>
      </c>
      <c r="C4" s="196"/>
      <c r="D4" s="196"/>
      <c r="E4" s="196"/>
      <c r="F4" s="197"/>
      <c r="G4" s="200" t="s">
        <v>7</v>
      </c>
      <c r="H4" s="196"/>
      <c r="I4" s="196"/>
      <c r="J4" s="196"/>
      <c r="K4" s="197"/>
      <c r="L4" s="195" t="s">
        <v>9</v>
      </c>
      <c r="M4" s="196"/>
      <c r="N4" s="197"/>
      <c r="O4" s="201" t="s">
        <v>10</v>
      </c>
      <c r="P4" s="202"/>
      <c r="Q4" s="202"/>
      <c r="R4" s="195" t="s">
        <v>12</v>
      </c>
      <c r="S4" s="196"/>
      <c r="T4" s="197"/>
      <c r="U4" s="195" t="s">
        <v>14</v>
      </c>
      <c r="V4" s="196"/>
      <c r="W4" s="196"/>
      <c r="X4" s="197"/>
      <c r="Y4" s="198" t="s">
        <v>16</v>
      </c>
    </row>
    <row r="5" spans="1:26" ht="121.5" customHeight="1" x14ac:dyDescent="0.25">
      <c r="A5" s="199"/>
      <c r="B5" s="20" t="s">
        <v>3</v>
      </c>
      <c r="C5" s="21" t="s">
        <v>4</v>
      </c>
      <c r="D5" s="44" t="s">
        <v>5</v>
      </c>
      <c r="E5" s="44" t="s">
        <v>6</v>
      </c>
      <c r="F5" s="22" t="s">
        <v>49</v>
      </c>
      <c r="G5" s="23" t="s">
        <v>3</v>
      </c>
      <c r="H5" s="21" t="s">
        <v>4</v>
      </c>
      <c r="I5" s="44" t="s">
        <v>5</v>
      </c>
      <c r="J5" s="44" t="s">
        <v>8</v>
      </c>
      <c r="K5" s="22" t="s">
        <v>49</v>
      </c>
      <c r="L5" s="23" t="s">
        <v>3</v>
      </c>
      <c r="M5" s="24" t="s">
        <v>4</v>
      </c>
      <c r="N5" s="22" t="s">
        <v>49</v>
      </c>
      <c r="O5" s="23" t="s">
        <v>3</v>
      </c>
      <c r="P5" s="44" t="s">
        <v>11</v>
      </c>
      <c r="Q5" s="22" t="s">
        <v>49</v>
      </c>
      <c r="R5" s="23" t="s">
        <v>3</v>
      </c>
      <c r="S5" s="44" t="s">
        <v>13</v>
      </c>
      <c r="T5" s="22" t="s">
        <v>49</v>
      </c>
      <c r="U5" s="23" t="s">
        <v>3</v>
      </c>
      <c r="V5" s="44" t="s">
        <v>15</v>
      </c>
      <c r="W5" s="44" t="s">
        <v>8</v>
      </c>
      <c r="X5" s="22" t="s">
        <v>49</v>
      </c>
      <c r="Y5" s="199"/>
    </row>
    <row r="6" spans="1:26" x14ac:dyDescent="0.25">
      <c r="A6" s="25">
        <v>1</v>
      </c>
      <c r="B6" s="26">
        <v>2</v>
      </c>
      <c r="C6" s="25">
        <v>3</v>
      </c>
      <c r="D6" s="25">
        <v>4</v>
      </c>
      <c r="E6" s="25">
        <v>5</v>
      </c>
      <c r="F6" s="27">
        <v>6</v>
      </c>
      <c r="G6" s="28">
        <v>7</v>
      </c>
      <c r="H6" s="25">
        <v>8</v>
      </c>
      <c r="I6" s="25">
        <v>9</v>
      </c>
      <c r="J6" s="25">
        <v>10</v>
      </c>
      <c r="K6" s="27">
        <v>11</v>
      </c>
      <c r="L6" s="28">
        <v>12</v>
      </c>
      <c r="M6" s="29">
        <v>13</v>
      </c>
      <c r="N6" s="27">
        <v>14</v>
      </c>
      <c r="O6" s="28">
        <v>15</v>
      </c>
      <c r="P6" s="25">
        <v>16</v>
      </c>
      <c r="Q6" s="27">
        <v>17</v>
      </c>
      <c r="R6" s="28">
        <v>18</v>
      </c>
      <c r="S6" s="25">
        <v>19</v>
      </c>
      <c r="T6" s="27">
        <v>20</v>
      </c>
      <c r="U6" s="28">
        <v>21</v>
      </c>
      <c r="V6" s="25">
        <v>22</v>
      </c>
      <c r="W6" s="25">
        <v>23</v>
      </c>
      <c r="X6" s="27">
        <v>24</v>
      </c>
      <c r="Y6" s="25">
        <v>25</v>
      </c>
    </row>
    <row r="7" spans="1:26" ht="30.75" customHeight="1" x14ac:dyDescent="0.25">
      <c r="A7" s="1" t="s">
        <v>18</v>
      </c>
      <c r="B7" s="17">
        <f>'175 удельный вес расходов'!B4</f>
        <v>0.32200000000000001</v>
      </c>
      <c r="C7" s="2">
        <f>'176. коэф. на удорож стои ЖКУ'!C6</f>
        <v>0.79200000000000004</v>
      </c>
      <c r="D7" s="2">
        <f>'177 Коэф. дифферен-ии зар. пла'!H7</f>
        <v>1.0094850948509488</v>
      </c>
      <c r="E7" s="2">
        <f>'180.коэф. транспортной доступ'!H6</f>
        <v>0.35499999999999998</v>
      </c>
      <c r="F7" s="18">
        <f t="shared" ref="F7:F13" si="0">ROUND(B7*C7*D7*E7,3)</f>
        <v>9.0999999999999998E-2</v>
      </c>
      <c r="G7" s="17">
        <f>'175 удельный вес расходов'!D4</f>
        <v>0.35099999999999998</v>
      </c>
      <c r="H7" s="2">
        <f>'176. коэф. на удорож стои ЖКУ'!C6</f>
        <v>0.79200000000000004</v>
      </c>
      <c r="I7" s="2">
        <f>'177 Коэф. дифферен-ии зар. пла'!H7</f>
        <v>1.0094850948509488</v>
      </c>
      <c r="J7" s="2">
        <f>'181коэф урбанизации'!E6</f>
        <v>1</v>
      </c>
      <c r="K7" s="18">
        <f>ROUND(G7*H7*I7*J7,3)</f>
        <v>0.28100000000000003</v>
      </c>
      <c r="L7" s="17">
        <f>'175 удельный вес расходов'!F4</f>
        <v>3.6999999999999998E-2</v>
      </c>
      <c r="M7" s="2">
        <f>'176. коэф. на удорож стои ЖКУ'!C6</f>
        <v>0.79200000000000004</v>
      </c>
      <c r="N7" s="18">
        <f>ROUND(L7*M7,3)</f>
        <v>2.9000000000000001E-2</v>
      </c>
      <c r="O7" s="17">
        <f>'175 удельный вес расходов'!H4</f>
        <v>0.16300000000000001</v>
      </c>
      <c r="P7" s="2">
        <f>'182 коэф. благоустройства'!H5</f>
        <v>3.2049835491048051</v>
      </c>
      <c r="Q7" s="18">
        <f>ROUND(O7*P7,3)</f>
        <v>0.52200000000000002</v>
      </c>
      <c r="R7" s="17">
        <f>'175 удельный вес расходов'!J4</f>
        <v>1.0999999999999999E-2</v>
      </c>
      <c r="S7" s="2">
        <f>'183 структ жил фонда'!F8</f>
        <v>0.499</v>
      </c>
      <c r="T7" s="18">
        <f>ROUND(R7*S7,3)</f>
        <v>5.0000000000000001E-3</v>
      </c>
      <c r="U7" s="17">
        <f>'175 удельный вес расходов'!L4</f>
        <v>0.11700000000000001</v>
      </c>
      <c r="V7" s="2">
        <f>'184 .коэф. концентр населения'!D8</f>
        <v>1.0089999999999999</v>
      </c>
      <c r="W7" s="2">
        <f>'181коэф урбанизации'!E6</f>
        <v>1</v>
      </c>
      <c r="X7" s="18">
        <f>ROUND(U7*V7*W7,3)</f>
        <v>0.11799999999999999</v>
      </c>
      <c r="Y7" s="2">
        <f>ROUND(F7+K7+N7+Q7+T7+X7,3)</f>
        <v>1.046</v>
      </c>
    </row>
    <row r="8" spans="1:26" ht="33.75" customHeight="1" x14ac:dyDescent="0.25">
      <c r="A8" s="1" t="s">
        <v>19</v>
      </c>
      <c r="B8" s="17">
        <f>'175 удельный вес расходов'!B5</f>
        <v>0.66200000000000003</v>
      </c>
      <c r="C8" s="2">
        <f>'176. коэф. на удорож стои ЖКУ'!C7</f>
        <v>1.2490000000000001</v>
      </c>
      <c r="D8" s="2">
        <f>'177 Коэф. дифферен-ии зар. пла'!H8</f>
        <v>2.0000000000000004</v>
      </c>
      <c r="E8" s="2">
        <f>'180.коэф. транспортной доступ'!H7</f>
        <v>0.75327225130890052</v>
      </c>
      <c r="F8" s="18">
        <f t="shared" si="0"/>
        <v>1.246</v>
      </c>
      <c r="G8" s="17">
        <f>'175 удельный вес расходов'!D5</f>
        <v>0.14699999999999999</v>
      </c>
      <c r="H8" s="2">
        <f>'176. коэф. на удорож стои ЖКУ'!C7</f>
        <v>1.2490000000000001</v>
      </c>
      <c r="I8" s="2">
        <f>'177 Коэф. дифферен-ии зар. пла'!H8</f>
        <v>2.0000000000000004</v>
      </c>
      <c r="J8" s="2">
        <f>'181коэф урбанизации'!E7</f>
        <v>1</v>
      </c>
      <c r="K8" s="18">
        <f t="shared" ref="K8:K13" si="1">ROUND(G8*H8*I8*J8,3)</f>
        <v>0.36699999999999999</v>
      </c>
      <c r="L8" s="17">
        <f>'175 удельный вес расходов'!F5</f>
        <v>4.0000000000000001E-3</v>
      </c>
      <c r="M8" s="2">
        <f>'176. коэф. на удорож стои ЖКУ'!C7</f>
        <v>1.2490000000000001</v>
      </c>
      <c r="N8" s="18">
        <f t="shared" ref="N8:N13" si="2">ROUND(L8*M8,3)</f>
        <v>5.0000000000000001E-3</v>
      </c>
      <c r="O8" s="17">
        <f>'175 удельный вес расходов'!H5</f>
        <v>0.11899999999999999</v>
      </c>
      <c r="P8" s="2">
        <f>'182 коэф. благоустройства'!H6</f>
        <v>1.4083640363824148</v>
      </c>
      <c r="Q8" s="18">
        <f t="shared" ref="Q8:Q13" si="3">ROUND(O8*P8,3)</f>
        <v>0.16800000000000001</v>
      </c>
      <c r="R8" s="17">
        <f>'175 удельный вес расходов'!J5</f>
        <v>2E-3</v>
      </c>
      <c r="S8" s="2">
        <f>'183 структ жил фонда'!F9</f>
        <v>1.1459999999999999</v>
      </c>
      <c r="T8" s="18">
        <f t="shared" ref="T8:T13" si="4">ROUND(R8*S8,3)</f>
        <v>2E-3</v>
      </c>
      <c r="U8" s="17">
        <f>'175 удельный вес расходов'!L5</f>
        <v>2.8000000000000001E-2</v>
      </c>
      <c r="V8" s="2">
        <f>'184 .коэф. концентр населения'!D9</f>
        <v>1</v>
      </c>
      <c r="W8" s="2">
        <f>'181коэф урбанизации'!E7</f>
        <v>1</v>
      </c>
      <c r="X8" s="18">
        <f t="shared" ref="X8:X13" si="5">ROUND(U8*V8*W8,3)</f>
        <v>2.8000000000000001E-2</v>
      </c>
      <c r="Y8" s="2">
        <f t="shared" ref="Y8:Y13" si="6">ROUND(F8+K8+N8+Q8+T8+X8,3)</f>
        <v>1.8160000000000001</v>
      </c>
    </row>
    <row r="9" spans="1:26" ht="24.75" customHeight="1" x14ac:dyDescent="0.25">
      <c r="A9" s="1" t="s">
        <v>20</v>
      </c>
      <c r="B9" s="17">
        <f>'175 удельный вес расходов'!B6</f>
        <v>0.64</v>
      </c>
      <c r="C9" s="2">
        <f>'176. коэф. на удорож стои ЖКУ'!C8</f>
        <v>1.5649999999999999</v>
      </c>
      <c r="D9" s="2">
        <f>'177 Коэф. дифферен-ии зар. пла'!H9</f>
        <v>2.0000000000000004</v>
      </c>
      <c r="E9" s="2">
        <f>'180.коэф. транспортной доступ'!H8</f>
        <v>1.3819999999999999</v>
      </c>
      <c r="F9" s="18">
        <f t="shared" si="0"/>
        <v>2.7679999999999998</v>
      </c>
      <c r="G9" s="17">
        <f>'175 удельный вес расходов'!D6</f>
        <v>0.14799999999999999</v>
      </c>
      <c r="H9" s="2">
        <f>'176. коэф. на удорож стои ЖКУ'!C8</f>
        <v>1.5649999999999999</v>
      </c>
      <c r="I9" s="2">
        <f>'177 Коэф. дифферен-ии зар. пла'!H9</f>
        <v>2.0000000000000004</v>
      </c>
      <c r="J9" s="2">
        <f>'181коэф урбанизации'!E8</f>
        <v>1</v>
      </c>
      <c r="K9" s="18">
        <f t="shared" si="1"/>
        <v>0.46300000000000002</v>
      </c>
      <c r="L9" s="17">
        <f>'175 удельный вес расходов'!F6</f>
        <v>0.05</v>
      </c>
      <c r="M9" s="2">
        <f>'176. коэф. на удорож стои ЖКУ'!C8</f>
        <v>1.5649999999999999</v>
      </c>
      <c r="N9" s="18">
        <f t="shared" si="2"/>
        <v>7.8E-2</v>
      </c>
      <c r="O9" s="17">
        <f>'175 удельный вес расходов'!H6</f>
        <v>0.124</v>
      </c>
      <c r="P9" s="2">
        <f>'182 коэф. благоустройства'!H7</f>
        <v>1.7027359610987378</v>
      </c>
      <c r="Q9" s="18">
        <f t="shared" si="3"/>
        <v>0.21099999999999999</v>
      </c>
      <c r="R9" s="17">
        <f>'175 удельный вес расходов'!J6</f>
        <v>1E-3</v>
      </c>
      <c r="S9" s="2">
        <f>'183 структ жил фонда'!F10</f>
        <v>4</v>
      </c>
      <c r="T9" s="18">
        <f t="shared" si="4"/>
        <v>4.0000000000000001E-3</v>
      </c>
      <c r="U9" s="17">
        <f>'175 удельный вес расходов'!L6</f>
        <v>4.8000000000000001E-2</v>
      </c>
      <c r="V9" s="2">
        <f>'184 .коэф. концентр населения'!D10</f>
        <v>1</v>
      </c>
      <c r="W9" s="2">
        <f>'181коэф урбанизации'!E8</f>
        <v>1</v>
      </c>
      <c r="X9" s="18">
        <f t="shared" si="5"/>
        <v>4.8000000000000001E-2</v>
      </c>
      <c r="Y9" s="2">
        <f t="shared" si="6"/>
        <v>3.5720000000000001</v>
      </c>
    </row>
    <row r="10" spans="1:26" ht="24.75" customHeight="1" x14ac:dyDescent="0.25">
      <c r="A10" s="1" t="s">
        <v>21</v>
      </c>
      <c r="B10" s="17">
        <f>'175 удельный вес расходов'!B7</f>
        <v>0.66200000000000003</v>
      </c>
      <c r="C10" s="2">
        <f>'176. коэф. на удорож стои ЖКУ'!C9</f>
        <v>3.5659999999999998</v>
      </c>
      <c r="D10" s="2">
        <f>'177 Коэф. дифферен-ии зар. пла'!H10</f>
        <v>2.0000000000000004</v>
      </c>
      <c r="E10" s="2">
        <f>'180.коэф. транспортной доступ'!H9</f>
        <v>2.2189999999999999</v>
      </c>
      <c r="F10" s="18">
        <f t="shared" si="0"/>
        <v>10.477</v>
      </c>
      <c r="G10" s="17">
        <f>'175 удельный вес расходов'!D7</f>
        <v>0.21</v>
      </c>
      <c r="H10" s="2">
        <f>'176. коэф. на удорож стои ЖКУ'!C9</f>
        <v>3.5659999999999998</v>
      </c>
      <c r="I10" s="2">
        <f>'177 Коэф. дифферен-ии зар. пла'!H10</f>
        <v>2.0000000000000004</v>
      </c>
      <c r="J10" s="2">
        <f>'181коэф урбанизации'!E9</f>
        <v>1</v>
      </c>
      <c r="K10" s="18">
        <f t="shared" si="1"/>
        <v>1.498</v>
      </c>
      <c r="L10" s="17">
        <f>'175 удельный вес расходов'!F7</f>
        <v>0</v>
      </c>
      <c r="M10" s="2">
        <f>'176. коэф. на удорож стои ЖКУ'!C9</f>
        <v>3.5659999999999998</v>
      </c>
      <c r="N10" s="18">
        <f t="shared" si="2"/>
        <v>0</v>
      </c>
      <c r="O10" s="17">
        <f>'175 удельный вес расходов'!H7</f>
        <v>0.11799999999999999</v>
      </c>
      <c r="P10" s="2">
        <f>'182 коэф. благоустройства'!H8</f>
        <v>1.2469897712796316</v>
      </c>
      <c r="Q10" s="18">
        <f t="shared" si="3"/>
        <v>0.14699999999999999</v>
      </c>
      <c r="R10" s="17">
        <f>'175 удельный вес расходов'!J7</f>
        <v>0</v>
      </c>
      <c r="S10" s="2">
        <f>'183 структ жил фонда'!F11</f>
        <v>2.7010000000000001</v>
      </c>
      <c r="T10" s="18">
        <f t="shared" si="4"/>
        <v>0</v>
      </c>
      <c r="U10" s="17">
        <f>'175 удельный вес расходов'!L7</f>
        <v>8.9999999999999993E-3</v>
      </c>
      <c r="V10" s="2">
        <f>'184 .коэф. концентр населения'!D11</f>
        <v>1</v>
      </c>
      <c r="W10" s="2">
        <f>'181коэф урбанизации'!E9</f>
        <v>1</v>
      </c>
      <c r="X10" s="18">
        <f t="shared" si="5"/>
        <v>8.9999999999999993E-3</v>
      </c>
      <c r="Y10" s="2">
        <f t="shared" si="6"/>
        <v>12.131</v>
      </c>
    </row>
    <row r="11" spans="1:26" ht="24.75" customHeight="1" x14ac:dyDescent="0.25">
      <c r="A11" s="1" t="s">
        <v>22</v>
      </c>
      <c r="B11" s="17">
        <f>'175 удельный вес расходов'!B8</f>
        <v>0.74299999999999999</v>
      </c>
      <c r="C11" s="2">
        <f>'176. коэф. на удорож стои ЖКУ'!C10</f>
        <v>1</v>
      </c>
      <c r="D11" s="2">
        <f>'177 Коэф. дифферен-ии зар. пла'!H11</f>
        <v>2.0000000000000004</v>
      </c>
      <c r="E11" s="2">
        <f>'180.коэф. транспортной доступ'!H10</f>
        <v>2.778</v>
      </c>
      <c r="F11" s="18">
        <f t="shared" si="0"/>
        <v>4.1280000000000001</v>
      </c>
      <c r="G11" s="17">
        <f>'175 удельный вес расходов'!D8</f>
        <v>0.14199999999999999</v>
      </c>
      <c r="H11" s="2">
        <f>'176. коэф. на удорож стои ЖКУ'!C10</f>
        <v>1</v>
      </c>
      <c r="I11" s="2">
        <f>'177 Коэф. дифферен-ии зар. пла'!H11</f>
        <v>2.0000000000000004</v>
      </c>
      <c r="J11" s="2">
        <f>'181коэф урбанизации'!E10</f>
        <v>1</v>
      </c>
      <c r="K11" s="18">
        <f t="shared" si="1"/>
        <v>0.28399999999999997</v>
      </c>
      <c r="L11" s="17">
        <f>'175 удельный вес расходов'!F8</f>
        <v>0</v>
      </c>
      <c r="M11" s="2">
        <f>'176. коэф. на удорож стои ЖКУ'!C10</f>
        <v>1</v>
      </c>
      <c r="N11" s="18">
        <f t="shared" si="2"/>
        <v>0</v>
      </c>
      <c r="O11" s="17">
        <f>'175 удельный вес расходов'!H8</f>
        <v>7.0000000000000007E-2</v>
      </c>
      <c r="P11" s="2">
        <f>'182 коэф. благоустройства'!H9</f>
        <v>1.1927386630231689</v>
      </c>
      <c r="Q11" s="18">
        <f t="shared" si="3"/>
        <v>8.3000000000000004E-2</v>
      </c>
      <c r="R11" s="17">
        <f>'175 удельный вес расходов'!J8</f>
        <v>0</v>
      </c>
      <c r="S11" s="2">
        <f>'183 структ жил фонда'!F12</f>
        <v>16.605</v>
      </c>
      <c r="T11" s="18">
        <f t="shared" si="4"/>
        <v>0</v>
      </c>
      <c r="U11" s="17">
        <f>'175 удельный вес расходов'!L8</f>
        <v>4.4999999999999998E-2</v>
      </c>
      <c r="V11" s="2">
        <f>'184 .коэф. концентр населения'!D12</f>
        <v>1</v>
      </c>
      <c r="W11" s="2">
        <f>'181коэф урбанизации'!E10</f>
        <v>1</v>
      </c>
      <c r="X11" s="18">
        <f t="shared" si="5"/>
        <v>4.4999999999999998E-2</v>
      </c>
      <c r="Y11" s="2">
        <f t="shared" si="6"/>
        <v>4.54</v>
      </c>
    </row>
    <row r="12" spans="1:26" ht="24.75" customHeight="1" x14ac:dyDescent="0.25">
      <c r="A12" s="1" t="s">
        <v>23</v>
      </c>
      <c r="B12" s="17">
        <f>'175 удельный вес расходов'!B9</f>
        <v>0.8</v>
      </c>
      <c r="C12" s="2">
        <f>'176. коэф. на удорож стои ЖКУ'!C11</f>
        <v>1</v>
      </c>
      <c r="D12" s="2">
        <f>'177 Коэф. дифферен-ии зар. пла'!H12</f>
        <v>2.0000000000000004</v>
      </c>
      <c r="E12" s="2">
        <f>'180.коэф. транспортной доступ'!H11</f>
        <v>0.82899999999999996</v>
      </c>
      <c r="F12" s="18">
        <f t="shared" si="0"/>
        <v>1.3260000000000001</v>
      </c>
      <c r="G12" s="17">
        <f>'175 удельный вес расходов'!D9</f>
        <v>0.13100000000000001</v>
      </c>
      <c r="H12" s="2">
        <f>'176. коэф. на удорож стои ЖКУ'!C11</f>
        <v>1</v>
      </c>
      <c r="I12" s="2">
        <f>'177 Коэф. дифферен-ии зар. пла'!H12</f>
        <v>2.0000000000000004</v>
      </c>
      <c r="J12" s="2">
        <f>'181коэф урбанизации'!E11</f>
        <v>1</v>
      </c>
      <c r="K12" s="18">
        <f t="shared" si="1"/>
        <v>0.26200000000000001</v>
      </c>
      <c r="L12" s="17">
        <f>'175 удельный вес расходов'!F9</f>
        <v>0</v>
      </c>
      <c r="M12" s="2">
        <f>'176. коэф. на удорож стои ЖКУ'!C11</f>
        <v>1</v>
      </c>
      <c r="N12" s="18">
        <f t="shared" si="2"/>
        <v>0</v>
      </c>
      <c r="O12" s="17">
        <f>'175 удельный вес расходов'!H9</f>
        <v>6.2E-2</v>
      </c>
      <c r="P12" s="2">
        <f>'182 коэф. благоустройства'!H10</f>
        <v>1.2258219143652627</v>
      </c>
      <c r="Q12" s="18">
        <f t="shared" si="3"/>
        <v>7.5999999999999998E-2</v>
      </c>
      <c r="R12" s="17">
        <f>'175 удельный вес расходов'!J9</f>
        <v>0</v>
      </c>
      <c r="S12" s="2">
        <f>'183 структ жил фонда'!F13</f>
        <v>4.0350000000000001</v>
      </c>
      <c r="T12" s="18">
        <f t="shared" si="4"/>
        <v>0</v>
      </c>
      <c r="U12" s="17">
        <f>'175 удельный вес расходов'!L9</f>
        <v>7.0000000000000001E-3</v>
      </c>
      <c r="V12" s="2">
        <f>'184 .коэф. концентр населения'!D13</f>
        <v>1.206</v>
      </c>
      <c r="W12" s="2">
        <f>'181коэф урбанизации'!E11</f>
        <v>1</v>
      </c>
      <c r="X12" s="18">
        <f t="shared" si="5"/>
        <v>8.0000000000000002E-3</v>
      </c>
      <c r="Y12" s="2">
        <f t="shared" si="6"/>
        <v>1.6719999999999999</v>
      </c>
    </row>
    <row r="13" spans="1:26" ht="24.75" customHeight="1" x14ac:dyDescent="0.25">
      <c r="A13" s="19" t="s">
        <v>17</v>
      </c>
      <c r="B13" s="17">
        <f>'175 удельный вес расходов'!B10</f>
        <v>0.45200000000000001</v>
      </c>
      <c r="C13" s="2">
        <f>'176. коэф. на удорож стои ЖКУ'!C12</f>
        <v>1</v>
      </c>
      <c r="D13" s="2">
        <f>'177 Коэф. дифферен-ии зар. пла'!H13</f>
        <v>1.1462496755774723</v>
      </c>
      <c r="E13" s="2">
        <f>'180.коэф. транспортной доступ'!H12</f>
        <v>2</v>
      </c>
      <c r="F13" s="18">
        <f t="shared" si="0"/>
        <v>1.036</v>
      </c>
      <c r="G13" s="17">
        <f>'175 удельный вес расходов'!D10</f>
        <v>0.28299999999999997</v>
      </c>
      <c r="H13" s="2">
        <f>'176. коэф. на удорож стои ЖКУ'!C12</f>
        <v>1</v>
      </c>
      <c r="I13" s="2">
        <f>'177 Коэф. дифферен-ии зар. пла'!H13</f>
        <v>1.1462496755774723</v>
      </c>
      <c r="J13" s="2">
        <f>'181коэф урбанизации'!E12</f>
        <v>1</v>
      </c>
      <c r="K13" s="18">
        <f t="shared" si="1"/>
        <v>0.32400000000000001</v>
      </c>
      <c r="L13" s="17">
        <f>'175 удельный вес расходов'!F10</f>
        <v>2.9000000000000001E-2</v>
      </c>
      <c r="M13" s="2">
        <f>'176. коэф. на удорож стои ЖКУ'!C12</f>
        <v>1</v>
      </c>
      <c r="N13" s="18">
        <f t="shared" si="2"/>
        <v>2.9000000000000001E-2</v>
      </c>
      <c r="O13" s="17">
        <f>'175 удельный вес расходов'!H10</f>
        <v>0.14099999999999999</v>
      </c>
      <c r="P13" s="2">
        <f>'182 коэф. благоустройства'!H11</f>
        <v>0</v>
      </c>
      <c r="Q13" s="18">
        <f t="shared" si="3"/>
        <v>0</v>
      </c>
      <c r="R13" s="17">
        <f>'175 удельный вес расходов'!J10</f>
        <v>7.0000000000000001E-3</v>
      </c>
      <c r="S13" s="2">
        <f>'183 структ жил фонда'!F14</f>
        <v>0</v>
      </c>
      <c r="T13" s="18">
        <f t="shared" si="4"/>
        <v>0</v>
      </c>
      <c r="U13" s="17">
        <f>'175 удельный вес расходов'!L10</f>
        <v>8.7999999999999995E-2</v>
      </c>
      <c r="V13" s="2">
        <f>'184 .коэф. концентр населения'!D14</f>
        <v>1.0099922138593305</v>
      </c>
      <c r="W13" s="2">
        <f>'181коэф урбанизации'!E12</f>
        <v>1</v>
      </c>
      <c r="X13" s="18">
        <f t="shared" si="5"/>
        <v>8.8999999999999996E-2</v>
      </c>
      <c r="Y13" s="2">
        <f t="shared" si="6"/>
        <v>1.478</v>
      </c>
      <c r="Z13" s="16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87" firstPageNumber="173" orientation="landscape" useFirstPageNumber="1" r:id="rId1"/>
  <headerFooter alignWithMargins="0">
    <oddHeader>&amp;C&amp;P</oddHeader>
  </headerFooter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zoomScaleNormal="100" workbookViewId="0">
      <selection activeCell="D2" sqref="D2:E2"/>
    </sheetView>
  </sheetViews>
  <sheetFormatPr defaultRowHeight="15.75" x14ac:dyDescent="0.25"/>
  <cols>
    <col min="1" max="1" width="32.7109375" style="32" customWidth="1"/>
    <col min="2" max="2" width="13.28515625" style="3" customWidth="1"/>
    <col min="3" max="3" width="15.140625" style="3" customWidth="1"/>
    <col min="4" max="4" width="11.140625" style="3" customWidth="1"/>
    <col min="5" max="5" width="14.28515625" style="3" customWidth="1"/>
    <col min="6" max="6" width="11.85546875" style="3" customWidth="1"/>
    <col min="7" max="7" width="15.7109375" style="3" customWidth="1"/>
    <col min="8" max="8" width="13.7109375" style="3" customWidth="1"/>
    <col min="9" max="9" width="16.7109375" style="3" customWidth="1"/>
    <col min="10" max="10" width="10.85546875" style="3" customWidth="1"/>
    <col min="11" max="11" width="17.42578125" style="3" customWidth="1"/>
    <col min="12" max="12" width="11.85546875" style="3" customWidth="1"/>
    <col min="13" max="13" width="15" style="3" customWidth="1"/>
    <col min="14" max="14" width="11.42578125" style="3" customWidth="1"/>
    <col min="15" max="15" width="15.7109375" style="39" customWidth="1"/>
    <col min="16" max="16384" width="9.140625" style="3"/>
  </cols>
  <sheetData>
    <row r="1" spans="1:16" x14ac:dyDescent="0.25">
      <c r="D1" s="3" t="s">
        <v>144</v>
      </c>
    </row>
    <row r="2" spans="1:16" ht="109.5" customHeight="1" x14ac:dyDescent="0.25">
      <c r="A2" s="33"/>
      <c r="B2" s="203" t="s">
        <v>50</v>
      </c>
      <c r="C2" s="204"/>
      <c r="D2" s="203" t="s">
        <v>51</v>
      </c>
      <c r="E2" s="204"/>
      <c r="F2" s="203" t="s">
        <v>52</v>
      </c>
      <c r="G2" s="204"/>
      <c r="H2" s="203" t="s">
        <v>53</v>
      </c>
      <c r="I2" s="204"/>
      <c r="J2" s="203" t="s">
        <v>54</v>
      </c>
      <c r="K2" s="204"/>
      <c r="L2" s="203" t="s">
        <v>55</v>
      </c>
      <c r="M2" s="204"/>
      <c r="N2" s="203" t="s">
        <v>45</v>
      </c>
      <c r="O2" s="204"/>
    </row>
    <row r="3" spans="1:16" ht="31.5" x14ac:dyDescent="0.25">
      <c r="A3" s="33"/>
      <c r="B3" s="14" t="s">
        <v>41</v>
      </c>
      <c r="C3" s="14" t="s">
        <v>101</v>
      </c>
      <c r="D3" s="14" t="s">
        <v>41</v>
      </c>
      <c r="E3" s="42" t="s">
        <v>101</v>
      </c>
      <c r="F3" s="14" t="s">
        <v>41</v>
      </c>
      <c r="G3" s="42" t="s">
        <v>101</v>
      </c>
      <c r="H3" s="14" t="s">
        <v>41</v>
      </c>
      <c r="I3" s="42" t="s">
        <v>101</v>
      </c>
      <c r="J3" s="14" t="s">
        <v>41</v>
      </c>
      <c r="K3" s="42" t="s">
        <v>101</v>
      </c>
      <c r="L3" s="14" t="s">
        <v>41</v>
      </c>
      <c r="M3" s="42" t="s">
        <v>101</v>
      </c>
      <c r="N3" s="14" t="s">
        <v>41</v>
      </c>
      <c r="O3" s="42" t="s">
        <v>101</v>
      </c>
      <c r="P3" s="15"/>
    </row>
    <row r="4" spans="1:16" ht="31.5" x14ac:dyDescent="0.25">
      <c r="A4" s="34" t="s">
        <v>42</v>
      </c>
      <c r="B4" s="41">
        <f>ROUND(C4/O4,3)</f>
        <v>0.32200000000000001</v>
      </c>
      <c r="C4" s="172">
        <v>18964</v>
      </c>
      <c r="D4" s="4">
        <f>ROUND(E4/O4,3)</f>
        <v>0.35099999999999998</v>
      </c>
      <c r="E4" s="172">
        <v>20669.900000000001</v>
      </c>
      <c r="F4" s="4">
        <f>ROUND(G4/O4,3)</f>
        <v>3.6999999999999998E-2</v>
      </c>
      <c r="G4" s="172">
        <v>2187</v>
      </c>
      <c r="H4" s="4">
        <f>ROUND(I4/O4,3)</f>
        <v>0.16300000000000001</v>
      </c>
      <c r="I4" s="172">
        <v>9567.7999999999993</v>
      </c>
      <c r="J4" s="4">
        <f>ROUND(K4/O4,3)</f>
        <v>1.0999999999999999E-2</v>
      </c>
      <c r="K4" s="172">
        <v>648.9</v>
      </c>
      <c r="L4" s="4">
        <v>0.11700000000000001</v>
      </c>
      <c r="M4" s="172">
        <v>6837.8</v>
      </c>
      <c r="N4" s="41">
        <f>B4+D4+F4+H4+J4+L4</f>
        <v>1.0010000000000001</v>
      </c>
      <c r="O4" s="172">
        <f>C4+E4+G4+I4+K4+M4</f>
        <v>58875.4</v>
      </c>
      <c r="P4" s="15"/>
    </row>
    <row r="5" spans="1:16" ht="31.5" x14ac:dyDescent="0.25">
      <c r="A5" s="34" t="s">
        <v>47</v>
      </c>
      <c r="B5" s="41">
        <f t="shared" ref="B5:B9" si="0">ROUND(C5/O5,3)</f>
        <v>0.66200000000000003</v>
      </c>
      <c r="C5" s="172">
        <v>4882.1000000000004</v>
      </c>
      <c r="D5" s="4">
        <f t="shared" ref="D5:D9" si="1">ROUND(E5/O5,3)</f>
        <v>0.14699999999999999</v>
      </c>
      <c r="E5" s="172">
        <v>1084.5999999999999</v>
      </c>
      <c r="F5" s="4">
        <f t="shared" ref="F5:F6" si="2">ROUND(G5/O5,3)</f>
        <v>4.0000000000000001E-3</v>
      </c>
      <c r="G5" s="172">
        <v>33</v>
      </c>
      <c r="H5" s="4">
        <f>ROUND(I5/O5,3)</f>
        <v>0.11899999999999999</v>
      </c>
      <c r="I5" s="172">
        <v>874</v>
      </c>
      <c r="J5" s="4">
        <f t="shared" ref="J5:J10" si="3">ROUND(K5/O5,3)</f>
        <v>2E-3</v>
      </c>
      <c r="K5" s="172">
        <v>17.899999999999999</v>
      </c>
      <c r="L5" s="4">
        <v>2.8000000000000001E-2</v>
      </c>
      <c r="M5" s="172">
        <v>483</v>
      </c>
      <c r="N5" s="41">
        <f t="shared" ref="N5:O10" si="4">B5+D5+F5+H5+J5+L5</f>
        <v>0.96200000000000008</v>
      </c>
      <c r="O5" s="172">
        <f t="shared" si="4"/>
        <v>7374.6</v>
      </c>
      <c r="P5" s="15"/>
    </row>
    <row r="6" spans="1:16" ht="31.5" x14ac:dyDescent="0.25">
      <c r="A6" s="34" t="s">
        <v>48</v>
      </c>
      <c r="B6" s="41">
        <f t="shared" si="0"/>
        <v>0.64</v>
      </c>
      <c r="C6" s="172">
        <v>4825.2</v>
      </c>
      <c r="D6" s="4">
        <f t="shared" si="1"/>
        <v>0.14799999999999999</v>
      </c>
      <c r="E6" s="172">
        <v>1118.5</v>
      </c>
      <c r="F6" s="4">
        <f t="shared" si="2"/>
        <v>0.05</v>
      </c>
      <c r="G6" s="172">
        <v>380</v>
      </c>
      <c r="H6" s="4">
        <f t="shared" ref="H6:H10" si="5">ROUND(I6/O6,3)</f>
        <v>0.124</v>
      </c>
      <c r="I6" s="172">
        <v>934.8</v>
      </c>
      <c r="J6" s="4">
        <f t="shared" si="3"/>
        <v>1E-3</v>
      </c>
      <c r="K6" s="172">
        <v>9.1</v>
      </c>
      <c r="L6" s="4">
        <v>4.8000000000000001E-2</v>
      </c>
      <c r="M6" s="172">
        <v>273.5</v>
      </c>
      <c r="N6" s="41">
        <f t="shared" si="4"/>
        <v>1.0110000000000001</v>
      </c>
      <c r="O6" s="172">
        <f t="shared" si="4"/>
        <v>7541.1</v>
      </c>
    </row>
    <row r="7" spans="1:16" ht="31.5" x14ac:dyDescent="0.25">
      <c r="A7" s="34" t="s">
        <v>43</v>
      </c>
      <c r="B7" s="41">
        <f t="shared" si="0"/>
        <v>0.66200000000000003</v>
      </c>
      <c r="C7" s="172">
        <v>4044.2</v>
      </c>
      <c r="D7" s="4">
        <f t="shared" si="1"/>
        <v>0.21</v>
      </c>
      <c r="E7" s="172">
        <v>1286</v>
      </c>
      <c r="F7" s="4">
        <f>ROUND(G7/O7,3)</f>
        <v>0</v>
      </c>
      <c r="G7" s="172">
        <v>0</v>
      </c>
      <c r="H7" s="4">
        <f t="shared" si="5"/>
        <v>0.11799999999999999</v>
      </c>
      <c r="I7" s="172">
        <v>724</v>
      </c>
      <c r="J7" s="4">
        <f t="shared" si="3"/>
        <v>0</v>
      </c>
      <c r="K7" s="172">
        <v>0</v>
      </c>
      <c r="L7" s="4">
        <f t="shared" ref="L7:L10" si="6">ROUND(M7/O7,3)</f>
        <v>8.9999999999999993E-3</v>
      </c>
      <c r="M7" s="172">
        <v>56.8</v>
      </c>
      <c r="N7" s="41">
        <f t="shared" si="4"/>
        <v>0.999</v>
      </c>
      <c r="O7" s="172">
        <f t="shared" si="4"/>
        <v>6111</v>
      </c>
    </row>
    <row r="8" spans="1:16" ht="31.5" x14ac:dyDescent="0.25">
      <c r="A8" s="34" t="s">
        <v>44</v>
      </c>
      <c r="B8" s="41">
        <f t="shared" si="0"/>
        <v>0.74299999999999999</v>
      </c>
      <c r="C8" s="172">
        <v>3994</v>
      </c>
      <c r="D8" s="4">
        <f t="shared" si="1"/>
        <v>0.14199999999999999</v>
      </c>
      <c r="E8" s="172">
        <v>763.3</v>
      </c>
      <c r="F8" s="4">
        <f>ROUND(G8/O8,3)</f>
        <v>0</v>
      </c>
      <c r="G8" s="172">
        <v>0</v>
      </c>
      <c r="H8" s="4">
        <f t="shared" si="5"/>
        <v>7.0000000000000007E-2</v>
      </c>
      <c r="I8" s="172">
        <v>377.7</v>
      </c>
      <c r="J8" s="4">
        <f t="shared" si="3"/>
        <v>0</v>
      </c>
      <c r="K8" s="172">
        <v>0</v>
      </c>
      <c r="L8" s="4">
        <f t="shared" si="6"/>
        <v>4.4999999999999998E-2</v>
      </c>
      <c r="M8" s="172">
        <v>241.8</v>
      </c>
      <c r="N8" s="41">
        <f t="shared" si="4"/>
        <v>1</v>
      </c>
      <c r="O8" s="172">
        <f t="shared" si="4"/>
        <v>5376.8</v>
      </c>
    </row>
    <row r="9" spans="1:16" ht="31.5" x14ac:dyDescent="0.25">
      <c r="A9" s="34" t="s">
        <v>46</v>
      </c>
      <c r="B9" s="41">
        <f t="shared" si="0"/>
        <v>0.8</v>
      </c>
      <c r="C9" s="172">
        <v>4300.7</v>
      </c>
      <c r="D9" s="4">
        <f t="shared" si="1"/>
        <v>0.13100000000000001</v>
      </c>
      <c r="E9" s="172">
        <v>705.3</v>
      </c>
      <c r="F9" s="4">
        <f>ROUND(G9/O9,3)</f>
        <v>0</v>
      </c>
      <c r="G9" s="172">
        <v>0</v>
      </c>
      <c r="H9" s="4">
        <f t="shared" si="5"/>
        <v>6.2E-2</v>
      </c>
      <c r="I9" s="172">
        <v>331.4</v>
      </c>
      <c r="J9" s="4">
        <f t="shared" si="3"/>
        <v>0</v>
      </c>
      <c r="K9" s="172">
        <v>0</v>
      </c>
      <c r="L9" s="4">
        <f t="shared" si="6"/>
        <v>7.0000000000000001E-3</v>
      </c>
      <c r="M9" s="172">
        <v>39.6</v>
      </c>
      <c r="N9" s="41">
        <f t="shared" si="4"/>
        <v>1</v>
      </c>
      <c r="O9" s="172">
        <f t="shared" si="4"/>
        <v>5377</v>
      </c>
    </row>
    <row r="10" spans="1:16" x14ac:dyDescent="0.25">
      <c r="A10" s="33"/>
      <c r="B10" s="41">
        <f>ROUND(C10/O10,3)</f>
        <v>0.45200000000000001</v>
      </c>
      <c r="C10" s="172">
        <f>SUM(C4:C9)</f>
        <v>41010.199999999997</v>
      </c>
      <c r="D10" s="4">
        <f>ROUND(E10/O10,3)</f>
        <v>0.28299999999999997</v>
      </c>
      <c r="E10" s="172">
        <f>SUM(E4:E9)</f>
        <v>25627.599999999999</v>
      </c>
      <c r="F10" s="4">
        <f>ROUND(G10/O10,3)</f>
        <v>2.9000000000000001E-2</v>
      </c>
      <c r="G10" s="172">
        <f>SUM(G4:G9)</f>
        <v>2600</v>
      </c>
      <c r="H10" s="4">
        <f t="shared" si="5"/>
        <v>0.14099999999999999</v>
      </c>
      <c r="I10" s="172">
        <f>SUM(I4:I9)</f>
        <v>12809.699999999999</v>
      </c>
      <c r="J10" s="4">
        <f t="shared" si="3"/>
        <v>7.0000000000000001E-3</v>
      </c>
      <c r="K10" s="172">
        <f>SUM(K4:K9)</f>
        <v>675.9</v>
      </c>
      <c r="L10" s="4">
        <f t="shared" si="6"/>
        <v>8.7999999999999995E-2</v>
      </c>
      <c r="M10" s="172">
        <f>SUM(M4:M9)</f>
        <v>7932.5000000000009</v>
      </c>
      <c r="N10" s="41">
        <f t="shared" si="4"/>
        <v>1</v>
      </c>
      <c r="O10" s="172">
        <f>SUM(O4:O9)</f>
        <v>90655.900000000009</v>
      </c>
    </row>
    <row r="11" spans="1:16" x14ac:dyDescent="0.25">
      <c r="A11" s="36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40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39370078740157483" right="0.31496062992125984" top="0.55118110236220474" bottom="0.35433070866141736" header="0.11811023622047245" footer="0.11811023622047245"/>
  <pageSetup paperSize="9" scale="63" firstPageNumber="175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4" workbookViewId="0">
      <selection activeCell="F14" sqref="F14"/>
    </sheetView>
  </sheetViews>
  <sheetFormatPr defaultRowHeight="18.75" x14ac:dyDescent="0.3"/>
  <cols>
    <col min="1" max="1" width="27.140625" style="6" customWidth="1"/>
    <col min="2" max="2" width="32.140625" style="6" customWidth="1"/>
    <col min="3" max="3" width="26" style="6" customWidth="1"/>
    <col min="4" max="16384" width="9.140625" style="6"/>
  </cols>
  <sheetData>
    <row r="1" spans="1:8" x14ac:dyDescent="0.3">
      <c r="A1" s="205" t="s">
        <v>145</v>
      </c>
      <c r="B1" s="206"/>
      <c r="C1" s="206"/>
      <c r="D1" s="5"/>
      <c r="E1" s="5"/>
      <c r="F1" s="5"/>
    </row>
    <row r="2" spans="1:8" x14ac:dyDescent="0.3">
      <c r="A2" s="5"/>
      <c r="B2" s="5"/>
      <c r="C2" s="5"/>
      <c r="D2" s="5"/>
      <c r="E2" s="5"/>
      <c r="F2" s="5"/>
    </row>
    <row r="3" spans="1:8" x14ac:dyDescent="0.3">
      <c r="A3" s="207" t="s">
        <v>58</v>
      </c>
      <c r="B3" s="207"/>
      <c r="C3" s="207"/>
      <c r="D3" s="207"/>
    </row>
    <row r="4" spans="1:8" ht="155.25" customHeight="1" x14ac:dyDescent="0.3">
      <c r="A4" s="54" t="s">
        <v>25</v>
      </c>
      <c r="B4" s="54" t="s">
        <v>147</v>
      </c>
      <c r="C4" s="54" t="s">
        <v>137</v>
      </c>
      <c r="D4" s="7"/>
      <c r="E4" s="8"/>
      <c r="F4" s="8"/>
    </row>
    <row r="5" spans="1:8" x14ac:dyDescent="0.3">
      <c r="A5" s="54">
        <v>1</v>
      </c>
      <c r="B5" s="54">
        <v>2</v>
      </c>
      <c r="C5" s="54">
        <v>3</v>
      </c>
      <c r="D5" s="7"/>
      <c r="E5" s="7"/>
      <c r="F5" s="7"/>
    </row>
    <row r="6" spans="1:8" ht="24" customHeight="1" x14ac:dyDescent="0.3">
      <c r="A6" s="9" t="s">
        <v>18</v>
      </c>
      <c r="B6" s="54">
        <v>3373.57</v>
      </c>
      <c r="C6" s="54">
        <f>ROUND(B6/B12,3)</f>
        <v>0.79200000000000004</v>
      </c>
      <c r="D6" s="7"/>
      <c r="E6" s="10"/>
      <c r="F6" s="7"/>
    </row>
    <row r="7" spans="1:8" ht="24" customHeight="1" x14ac:dyDescent="0.3">
      <c r="A7" s="9" t="s">
        <v>19</v>
      </c>
      <c r="B7" s="54">
        <v>5319.26</v>
      </c>
      <c r="C7" s="54">
        <f>ROUND(B7/B12,3)</f>
        <v>1.2490000000000001</v>
      </c>
      <c r="D7" s="7"/>
      <c r="E7" s="10"/>
      <c r="F7" s="7"/>
    </row>
    <row r="8" spans="1:8" ht="24" customHeight="1" x14ac:dyDescent="0.3">
      <c r="A8" s="9" t="s">
        <v>20</v>
      </c>
      <c r="B8" s="54">
        <v>6666.21</v>
      </c>
      <c r="C8" s="54">
        <f>ROUND(B8/B12,3)</f>
        <v>1.5649999999999999</v>
      </c>
      <c r="D8" s="7"/>
      <c r="E8" s="10"/>
      <c r="F8" s="7"/>
    </row>
    <row r="9" spans="1:8" ht="24" customHeight="1" x14ac:dyDescent="0.3">
      <c r="A9" s="9" t="s">
        <v>21</v>
      </c>
      <c r="B9" s="54">
        <v>15186.21</v>
      </c>
      <c r="C9" s="54">
        <f>ROUND(B9/B12,3)</f>
        <v>3.5659999999999998</v>
      </c>
      <c r="D9" s="7"/>
      <c r="E9" s="10"/>
      <c r="F9" s="7"/>
    </row>
    <row r="10" spans="1:8" ht="24" customHeight="1" x14ac:dyDescent="0.3">
      <c r="A10" s="9" t="s">
        <v>22</v>
      </c>
      <c r="B10" s="13">
        <v>4258.88</v>
      </c>
      <c r="C10" s="54">
        <f>ROUND(B10/B12,3)</f>
        <v>1</v>
      </c>
      <c r="D10" s="7"/>
      <c r="E10" s="10"/>
      <c r="F10" s="7"/>
    </row>
    <row r="11" spans="1:8" ht="24" customHeight="1" x14ac:dyDescent="0.3">
      <c r="A11" s="9" t="s">
        <v>23</v>
      </c>
      <c r="B11" s="13">
        <v>4258.88</v>
      </c>
      <c r="C11" s="54">
        <f>ROUND(B11/B12,3)</f>
        <v>1</v>
      </c>
      <c r="D11" s="7"/>
      <c r="E11" s="10"/>
      <c r="F11" s="7"/>
      <c r="H11" s="6">
        <v>0</v>
      </c>
    </row>
    <row r="12" spans="1:8" ht="24" customHeight="1" x14ac:dyDescent="0.3">
      <c r="A12" s="106" t="s">
        <v>28</v>
      </c>
      <c r="B12" s="13">
        <v>4258.88</v>
      </c>
      <c r="C12" s="13">
        <v>1</v>
      </c>
      <c r="D12" s="11"/>
      <c r="E12" s="7"/>
      <c r="F12" s="7"/>
    </row>
    <row r="13" spans="1:8" x14ac:dyDescent="0.3">
      <c r="D13" s="12"/>
    </row>
    <row r="14" spans="1:8" x14ac:dyDescent="0.3">
      <c r="A14" s="6" t="s">
        <v>73</v>
      </c>
    </row>
    <row r="15" spans="1:8" ht="54.75" customHeight="1" x14ac:dyDescent="0.3">
      <c r="A15" s="208" t="s">
        <v>74</v>
      </c>
      <c r="B15" s="209"/>
      <c r="C15" s="209"/>
    </row>
  </sheetData>
  <mergeCells count="3">
    <mergeCell ref="A1:C1"/>
    <mergeCell ref="A3:D3"/>
    <mergeCell ref="A15:C15"/>
  </mergeCells>
  <pageMargins left="0.70866141732283472" right="0.70866141732283472" top="0.74803149606299213" bottom="0.74803149606299213" header="0.31496062992125984" footer="0.31496062992125984"/>
  <pageSetup paperSize="9" firstPageNumber="176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4" sqref="C4:C5"/>
    </sheetView>
  </sheetViews>
  <sheetFormatPr defaultRowHeight="18.75" x14ac:dyDescent="0.3"/>
  <cols>
    <col min="1" max="1" width="28" style="107" customWidth="1"/>
    <col min="2" max="2" width="17.28515625" style="107" customWidth="1"/>
    <col min="3" max="3" width="22.85546875" style="107" customWidth="1"/>
    <col min="4" max="4" width="21.5703125" style="107" customWidth="1"/>
    <col min="5" max="5" width="18.42578125" style="107" customWidth="1"/>
    <col min="6" max="6" width="22.28515625" style="107" customWidth="1"/>
    <col min="7" max="7" width="21" style="107" customWidth="1"/>
    <col min="8" max="8" width="28.7109375" style="107" customWidth="1"/>
    <col min="9" max="16384" width="9.140625" style="107"/>
  </cols>
  <sheetData>
    <row r="1" spans="1:8" x14ac:dyDescent="0.3">
      <c r="A1" s="211" t="s">
        <v>24</v>
      </c>
      <c r="B1" s="211"/>
      <c r="C1" s="211"/>
      <c r="D1" s="211"/>
      <c r="E1" s="211"/>
      <c r="F1" s="211"/>
      <c r="G1" s="211"/>
      <c r="H1" s="211"/>
    </row>
    <row r="2" spans="1:8" x14ac:dyDescent="0.3">
      <c r="A2" s="108"/>
      <c r="B2" s="211" t="s">
        <v>149</v>
      </c>
      <c r="C2" s="211"/>
      <c r="D2" s="211"/>
      <c r="E2" s="211"/>
      <c r="F2" s="211"/>
      <c r="G2" s="211"/>
      <c r="H2" s="108"/>
    </row>
    <row r="3" spans="1:8" x14ac:dyDescent="0.3">
      <c r="A3" s="108" t="s">
        <v>57</v>
      </c>
      <c r="B3" s="108"/>
      <c r="C3" s="108"/>
      <c r="D3" s="108"/>
      <c r="E3" s="108"/>
      <c r="F3" s="108"/>
      <c r="G3" s="108"/>
      <c r="H3" s="108"/>
    </row>
    <row r="4" spans="1:8" ht="12.75" customHeight="1" x14ac:dyDescent="0.3">
      <c r="A4" s="210" t="s">
        <v>25</v>
      </c>
      <c r="B4" s="210" t="s">
        <v>148</v>
      </c>
      <c r="C4" s="210" t="s">
        <v>26</v>
      </c>
      <c r="D4" s="210" t="s">
        <v>93</v>
      </c>
      <c r="E4" s="210" t="s">
        <v>94</v>
      </c>
      <c r="F4" s="210" t="s">
        <v>37</v>
      </c>
      <c r="G4" s="210" t="s">
        <v>95</v>
      </c>
      <c r="H4" s="210" t="s">
        <v>96</v>
      </c>
    </row>
    <row r="5" spans="1:8" ht="163.5" customHeight="1" x14ac:dyDescent="0.3">
      <c r="A5" s="210"/>
      <c r="B5" s="210"/>
      <c r="C5" s="210"/>
      <c r="D5" s="210"/>
      <c r="E5" s="210"/>
      <c r="F5" s="210"/>
      <c r="G5" s="210"/>
      <c r="H5" s="210"/>
    </row>
    <row r="6" spans="1:8" x14ac:dyDescent="0.3">
      <c r="A6" s="109">
        <v>1</v>
      </c>
      <c r="B6" s="110">
        <v>2</v>
      </c>
      <c r="C6" s="110">
        <v>3</v>
      </c>
      <c r="D6" s="110">
        <v>4</v>
      </c>
      <c r="E6" s="110">
        <v>5</v>
      </c>
      <c r="F6" s="110">
        <v>6</v>
      </c>
      <c r="G6" s="110">
        <v>7</v>
      </c>
      <c r="H6" s="110">
        <v>9</v>
      </c>
    </row>
    <row r="7" spans="1:8" ht="18" customHeight="1" x14ac:dyDescent="0.3">
      <c r="A7" s="111" t="s">
        <v>18</v>
      </c>
      <c r="B7" s="112">
        <v>6642</v>
      </c>
      <c r="C7" s="113">
        <f t="shared" ref="C7:C12" si="0">ROUND(B7/B$13,3)</f>
        <v>0.86199999999999999</v>
      </c>
      <c r="D7" s="110">
        <v>2.2000000000000002</v>
      </c>
      <c r="E7" s="114">
        <v>0.25</v>
      </c>
      <c r="F7" s="114">
        <f>D7+E7</f>
        <v>2.4500000000000002</v>
      </c>
      <c r="G7" s="114">
        <f>'178 коэф. на дисперстность'!E5</f>
        <v>1.0094850948509486</v>
      </c>
      <c r="H7" s="114">
        <f>F7*G7/'179 ред взвешан коэ на диф з.п'!G13</f>
        <v>1.0094850948509488</v>
      </c>
    </row>
    <row r="8" spans="1:8" ht="18" customHeight="1" x14ac:dyDescent="0.3">
      <c r="A8" s="111" t="s">
        <v>19</v>
      </c>
      <c r="B8" s="112">
        <v>365</v>
      </c>
      <c r="C8" s="113">
        <f t="shared" si="0"/>
        <v>4.7E-2</v>
      </c>
      <c r="D8" s="110">
        <v>2.2000000000000002</v>
      </c>
      <c r="E8" s="114">
        <v>0.25</v>
      </c>
      <c r="F8" s="114">
        <f t="shared" ref="F8:F12" si="1">D8+E8</f>
        <v>2.4500000000000002</v>
      </c>
      <c r="G8" s="114">
        <f>'178 коэф. на дисперстность'!E6</f>
        <v>2</v>
      </c>
      <c r="H8" s="114">
        <f>F8*G8/'179 ред взвешан коэ на диф з.п'!G13</f>
        <v>2.0000000000000004</v>
      </c>
    </row>
    <row r="9" spans="1:8" ht="18" customHeight="1" x14ac:dyDescent="0.3">
      <c r="A9" s="111" t="s">
        <v>20</v>
      </c>
      <c r="B9" s="112">
        <v>372</v>
      </c>
      <c r="C9" s="113">
        <f t="shared" si="0"/>
        <v>4.8000000000000001E-2</v>
      </c>
      <c r="D9" s="110">
        <v>2.2000000000000002</v>
      </c>
      <c r="E9" s="114">
        <v>0.25</v>
      </c>
      <c r="F9" s="114">
        <f t="shared" si="1"/>
        <v>2.4500000000000002</v>
      </c>
      <c r="G9" s="114">
        <f>'178 коэф. на дисперстность'!E7</f>
        <v>2</v>
      </c>
      <c r="H9" s="114">
        <f>F9*G9/'179 ред взвешан коэ на диф з.п'!G13</f>
        <v>2.0000000000000004</v>
      </c>
    </row>
    <row r="10" spans="1:8" ht="18" customHeight="1" x14ac:dyDescent="0.3">
      <c r="A10" s="111" t="s">
        <v>21</v>
      </c>
      <c r="B10" s="112">
        <v>152</v>
      </c>
      <c r="C10" s="113">
        <f t="shared" si="0"/>
        <v>0.02</v>
      </c>
      <c r="D10" s="110">
        <v>2.2000000000000002</v>
      </c>
      <c r="E10" s="114">
        <v>0.25</v>
      </c>
      <c r="F10" s="114">
        <f t="shared" si="1"/>
        <v>2.4500000000000002</v>
      </c>
      <c r="G10" s="114">
        <f>'178 коэф. на дисперстность'!E8</f>
        <v>2</v>
      </c>
      <c r="H10" s="114">
        <f>F10*G10/'179 ред взвешан коэ на диф з.п'!G13</f>
        <v>2.0000000000000004</v>
      </c>
    </row>
    <row r="11" spans="1:8" ht="18" customHeight="1" x14ac:dyDescent="0.3">
      <c r="A11" s="111" t="s">
        <v>22</v>
      </c>
      <c r="B11" s="112">
        <v>107</v>
      </c>
      <c r="C11" s="113">
        <f t="shared" si="0"/>
        <v>1.4E-2</v>
      </c>
      <c r="D11" s="110">
        <v>2.2000000000000002</v>
      </c>
      <c r="E11" s="114">
        <v>0.25</v>
      </c>
      <c r="F11" s="114">
        <f t="shared" si="1"/>
        <v>2.4500000000000002</v>
      </c>
      <c r="G11" s="114">
        <f>'178 коэф. на дисперстность'!E9</f>
        <v>2</v>
      </c>
      <c r="H11" s="114">
        <f>F11*G11/'179 ред взвешан коэ на диф з.п'!G13</f>
        <v>2.0000000000000004</v>
      </c>
    </row>
    <row r="12" spans="1:8" ht="18" customHeight="1" x14ac:dyDescent="0.3">
      <c r="A12" s="111" t="s">
        <v>23</v>
      </c>
      <c r="B12" s="112">
        <v>68</v>
      </c>
      <c r="C12" s="113">
        <f t="shared" si="0"/>
        <v>8.9999999999999993E-3</v>
      </c>
      <c r="D12" s="110">
        <v>2.2000000000000002</v>
      </c>
      <c r="E12" s="114">
        <v>0.25</v>
      </c>
      <c r="F12" s="114">
        <f t="shared" si="1"/>
        <v>2.4500000000000002</v>
      </c>
      <c r="G12" s="114">
        <f>'178 коэф. на дисперстность'!E10</f>
        <v>2</v>
      </c>
      <c r="H12" s="114">
        <f>F12*G12/'179 ред взвешан коэ на диф з.п'!G13</f>
        <v>2.0000000000000004</v>
      </c>
    </row>
    <row r="13" spans="1:8" x14ac:dyDescent="0.3">
      <c r="A13" s="115"/>
      <c r="B13" s="116">
        <f>B7+B8+B9+B10+B11+B12</f>
        <v>7706</v>
      </c>
      <c r="C13" s="117">
        <f>SUM(C7:C12)</f>
        <v>1</v>
      </c>
      <c r="D13" s="118">
        <v>2.2000000000000002</v>
      </c>
      <c r="E13" s="118">
        <v>0.25</v>
      </c>
      <c r="F13" s="114">
        <f>D13+E13</f>
        <v>2.4500000000000002</v>
      </c>
      <c r="G13" s="114">
        <f>'178 коэф. на дисперстность'!E11</f>
        <v>1.146249675577472</v>
      </c>
      <c r="H13" s="114">
        <f>F13*G13/'179 ред взвешан коэ на диф з.п'!G13</f>
        <v>1.1462496755774723</v>
      </c>
    </row>
    <row r="15" spans="1:8" x14ac:dyDescent="0.3">
      <c r="B15" s="107" t="s">
        <v>56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7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3" sqref="D3"/>
    </sheetView>
  </sheetViews>
  <sheetFormatPr defaultRowHeight="18.75" x14ac:dyDescent="0.3"/>
  <cols>
    <col min="1" max="1" width="30" style="107" customWidth="1"/>
    <col min="2" max="2" width="17.85546875" style="107" customWidth="1"/>
    <col min="3" max="3" width="26.85546875" style="107" customWidth="1"/>
    <col min="4" max="4" width="25.7109375" style="107" customWidth="1"/>
    <col min="5" max="5" width="25.42578125" style="107" customWidth="1"/>
    <col min="6" max="16384" width="9.140625" style="107"/>
  </cols>
  <sheetData>
    <row r="1" spans="1:5" x14ac:dyDescent="0.3">
      <c r="A1" s="212" t="s">
        <v>24</v>
      </c>
      <c r="B1" s="212"/>
      <c r="C1" s="212"/>
      <c r="D1" s="212"/>
      <c r="E1" s="212"/>
    </row>
    <row r="2" spans="1:5" ht="19.5" customHeight="1" x14ac:dyDescent="0.3">
      <c r="A2" s="213" t="s">
        <v>151</v>
      </c>
      <c r="B2" s="213"/>
      <c r="C2" s="213"/>
      <c r="D2" s="213"/>
      <c r="E2" s="213"/>
    </row>
    <row r="3" spans="1:5" ht="146.25" customHeight="1" x14ac:dyDescent="0.3">
      <c r="A3" s="119" t="s">
        <v>25</v>
      </c>
      <c r="B3" s="119" t="s">
        <v>150</v>
      </c>
      <c r="C3" s="119" t="s">
        <v>98</v>
      </c>
      <c r="D3" s="119" t="s">
        <v>102</v>
      </c>
      <c r="E3" s="119" t="s">
        <v>103</v>
      </c>
    </row>
    <row r="4" spans="1:5" x14ac:dyDescent="0.3">
      <c r="A4" s="109">
        <v>1</v>
      </c>
      <c r="B4" s="110">
        <v>2</v>
      </c>
      <c r="C4" s="110">
        <v>3</v>
      </c>
      <c r="D4" s="110">
        <v>4</v>
      </c>
      <c r="E4" s="110">
        <v>5</v>
      </c>
    </row>
    <row r="5" spans="1:5" ht="19.5" customHeight="1" x14ac:dyDescent="0.3">
      <c r="A5" s="111" t="s">
        <v>18</v>
      </c>
      <c r="B5" s="112">
        <v>6642</v>
      </c>
      <c r="C5" s="109">
        <v>63</v>
      </c>
      <c r="D5" s="114">
        <f t="shared" ref="D5:D11" si="0">C5/B5</f>
        <v>9.485094850948509E-3</v>
      </c>
      <c r="E5" s="120">
        <f t="shared" ref="E5:E10" si="1">D5+1</f>
        <v>1.0094850948509486</v>
      </c>
    </row>
    <row r="6" spans="1:5" ht="19.5" customHeight="1" x14ac:dyDescent="0.3">
      <c r="A6" s="111" t="s">
        <v>19</v>
      </c>
      <c r="B6" s="112">
        <v>365</v>
      </c>
      <c r="C6" s="112">
        <v>365</v>
      </c>
      <c r="D6" s="114">
        <f t="shared" si="0"/>
        <v>1</v>
      </c>
      <c r="E6" s="120">
        <f t="shared" si="1"/>
        <v>2</v>
      </c>
    </row>
    <row r="7" spans="1:5" ht="19.5" customHeight="1" x14ac:dyDescent="0.3">
      <c r="A7" s="111" t="s">
        <v>20</v>
      </c>
      <c r="B7" s="112">
        <v>372</v>
      </c>
      <c r="C7" s="112">
        <v>372</v>
      </c>
      <c r="D7" s="114">
        <f t="shared" si="0"/>
        <v>1</v>
      </c>
      <c r="E7" s="120">
        <f t="shared" si="1"/>
        <v>2</v>
      </c>
    </row>
    <row r="8" spans="1:5" ht="19.5" customHeight="1" x14ac:dyDescent="0.3">
      <c r="A8" s="111" t="s">
        <v>21</v>
      </c>
      <c r="B8" s="112">
        <v>152</v>
      </c>
      <c r="C8" s="112">
        <v>152</v>
      </c>
      <c r="D8" s="114">
        <f t="shared" si="0"/>
        <v>1</v>
      </c>
      <c r="E8" s="120">
        <f t="shared" si="1"/>
        <v>2</v>
      </c>
    </row>
    <row r="9" spans="1:5" ht="19.5" customHeight="1" x14ac:dyDescent="0.3">
      <c r="A9" s="111" t="s">
        <v>22</v>
      </c>
      <c r="B9" s="112">
        <v>107</v>
      </c>
      <c r="C9" s="112">
        <v>107</v>
      </c>
      <c r="D9" s="114">
        <f t="shared" si="0"/>
        <v>1</v>
      </c>
      <c r="E9" s="120">
        <f t="shared" si="1"/>
        <v>2</v>
      </c>
    </row>
    <row r="10" spans="1:5" ht="19.5" customHeight="1" x14ac:dyDescent="0.3">
      <c r="A10" s="111" t="s">
        <v>23</v>
      </c>
      <c r="B10" s="112">
        <v>68</v>
      </c>
      <c r="C10" s="112">
        <v>68</v>
      </c>
      <c r="D10" s="114">
        <f t="shared" si="0"/>
        <v>1</v>
      </c>
      <c r="E10" s="120">
        <f t="shared" si="1"/>
        <v>2</v>
      </c>
    </row>
    <row r="11" spans="1:5" x14ac:dyDescent="0.3">
      <c r="A11" s="115" t="s">
        <v>17</v>
      </c>
      <c r="B11" s="121">
        <f>B5+B6+B7+B8+B9+B10</f>
        <v>7706</v>
      </c>
      <c r="C11" s="122">
        <f>C5+C6+C7+C8+C9+C10</f>
        <v>1127</v>
      </c>
      <c r="D11" s="123">
        <f t="shared" si="0"/>
        <v>0.14624967557747209</v>
      </c>
      <c r="E11" s="118">
        <f>1+D11</f>
        <v>1.146249675577472</v>
      </c>
    </row>
    <row r="14" spans="1:5" x14ac:dyDescent="0.3">
      <c r="A14" s="107" t="s">
        <v>75</v>
      </c>
    </row>
  </sheetData>
  <mergeCells count="2">
    <mergeCell ref="A1:E1"/>
    <mergeCell ref="A2:E2"/>
  </mergeCells>
  <pageMargins left="0.70866141732283472" right="0.70866141732283472" top="0.74803149606299213" bottom="0.74803149606299213" header="0.31496062992125984" footer="0.31496062992125984"/>
  <pageSetup paperSize="9" firstPageNumber="178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zoomScaleNormal="100" workbookViewId="0">
      <selection activeCell="E1" sqref="E1:E1048576"/>
    </sheetView>
  </sheetViews>
  <sheetFormatPr defaultRowHeight="12.75" x14ac:dyDescent="0.2"/>
  <cols>
    <col min="1" max="1" width="23.28515625" style="124" customWidth="1"/>
    <col min="2" max="2" width="14" style="124" customWidth="1"/>
    <col min="3" max="3" width="18.85546875" style="124" customWidth="1"/>
    <col min="4" max="4" width="17" style="124" customWidth="1"/>
    <col min="5" max="5" width="26.5703125" style="124" customWidth="1"/>
    <col min="6" max="6" width="16" style="124" customWidth="1"/>
    <col min="7" max="7" width="17.85546875" style="124" customWidth="1"/>
    <col min="8" max="16384" width="9.140625" style="124"/>
  </cols>
  <sheetData>
    <row r="2" spans="1:8" ht="15.75" x14ac:dyDescent="0.2">
      <c r="A2" s="214" t="s">
        <v>32</v>
      </c>
      <c r="B2" s="214"/>
      <c r="C2" s="214"/>
      <c r="D2" s="214"/>
      <c r="E2" s="214"/>
      <c r="F2" s="214"/>
      <c r="G2" s="214"/>
      <c r="H2" s="214"/>
    </row>
    <row r="3" spans="1:8" ht="15.75" x14ac:dyDescent="0.2">
      <c r="A3" s="214" t="s">
        <v>152</v>
      </c>
      <c r="B3" s="214"/>
      <c r="C3" s="214"/>
      <c r="D3" s="214"/>
      <c r="E3" s="214"/>
      <c r="F3" s="214"/>
      <c r="G3" s="214"/>
      <c r="H3" s="214"/>
    </row>
    <row r="4" spans="1:8" ht="15.75" x14ac:dyDescent="0.2">
      <c r="A4" s="125"/>
      <c r="B4" s="125"/>
      <c r="C4" s="125"/>
      <c r="D4" s="125"/>
      <c r="E4" s="125"/>
      <c r="F4" s="125"/>
      <c r="G4" s="125"/>
      <c r="H4" s="125"/>
    </row>
    <row r="5" spans="1:8" ht="178.5" customHeight="1" x14ac:dyDescent="0.2">
      <c r="A5" s="126" t="s">
        <v>33</v>
      </c>
      <c r="B5" s="126" t="s">
        <v>153</v>
      </c>
      <c r="C5" s="126" t="s">
        <v>99</v>
      </c>
      <c r="D5" s="126" t="s">
        <v>34</v>
      </c>
      <c r="E5" s="126" t="s">
        <v>100</v>
      </c>
      <c r="F5" s="126" t="s">
        <v>35</v>
      </c>
      <c r="G5" s="126" t="s">
        <v>59</v>
      </c>
      <c r="H5" s="125"/>
    </row>
    <row r="6" spans="1:8" ht="15.75" x14ac:dyDescent="0.2">
      <c r="A6" s="127">
        <v>1</v>
      </c>
      <c r="B6" s="128">
        <v>2</v>
      </c>
      <c r="C6" s="129">
        <v>3</v>
      </c>
      <c r="D6" s="130">
        <v>4</v>
      </c>
      <c r="E6" s="130">
        <v>5</v>
      </c>
      <c r="F6" s="130">
        <v>6</v>
      </c>
      <c r="G6" s="130">
        <v>7</v>
      </c>
      <c r="H6" s="125"/>
    </row>
    <row r="7" spans="1:8" ht="18.75" x14ac:dyDescent="0.3">
      <c r="A7" s="131" t="s">
        <v>18</v>
      </c>
      <c r="B7" s="112">
        <v>6642</v>
      </c>
      <c r="C7" s="132">
        <v>2.2000000000000002</v>
      </c>
      <c r="D7" s="133">
        <v>0.25</v>
      </c>
      <c r="E7" s="133">
        <f>C7+D7</f>
        <v>2.4500000000000002</v>
      </c>
      <c r="F7" s="133">
        <f>ROUND(B7/$B$13,3)</f>
        <v>0.86199999999999999</v>
      </c>
      <c r="G7" s="133">
        <f>ROUND(E7*F7,3)</f>
        <v>2.1120000000000001</v>
      </c>
      <c r="H7" s="125"/>
    </row>
    <row r="8" spans="1:8" ht="18.75" x14ac:dyDescent="0.3">
      <c r="A8" s="131" t="s">
        <v>19</v>
      </c>
      <c r="B8" s="112">
        <v>365</v>
      </c>
      <c r="C8" s="132">
        <v>2.2000000000000002</v>
      </c>
      <c r="D8" s="133">
        <v>0.25</v>
      </c>
      <c r="E8" s="133">
        <f t="shared" ref="E8:E13" si="0">C8+D8</f>
        <v>2.4500000000000002</v>
      </c>
      <c r="F8" s="133">
        <f t="shared" ref="F8:F12" si="1">ROUND(B8/$B$13,3)</f>
        <v>4.7E-2</v>
      </c>
      <c r="G8" s="133">
        <f>ROUND(E8*F8,3)</f>
        <v>0.115</v>
      </c>
      <c r="H8" s="125"/>
    </row>
    <row r="9" spans="1:8" ht="18.75" x14ac:dyDescent="0.3">
      <c r="A9" s="131" t="s">
        <v>20</v>
      </c>
      <c r="B9" s="112">
        <v>372</v>
      </c>
      <c r="C9" s="132">
        <v>2.2000000000000002</v>
      </c>
      <c r="D9" s="133">
        <v>0.25</v>
      </c>
      <c r="E9" s="133">
        <f t="shared" si="0"/>
        <v>2.4500000000000002</v>
      </c>
      <c r="F9" s="133">
        <f t="shared" si="1"/>
        <v>4.8000000000000001E-2</v>
      </c>
      <c r="G9" s="133">
        <f t="shared" ref="G9:G12" si="2">ROUND(E9*F9,3)</f>
        <v>0.11799999999999999</v>
      </c>
      <c r="H9" s="125"/>
    </row>
    <row r="10" spans="1:8" ht="18.75" x14ac:dyDescent="0.3">
      <c r="A10" s="131" t="s">
        <v>21</v>
      </c>
      <c r="B10" s="112">
        <v>152</v>
      </c>
      <c r="C10" s="132">
        <v>2.2000000000000002</v>
      </c>
      <c r="D10" s="133">
        <v>0.25</v>
      </c>
      <c r="E10" s="133">
        <f t="shared" si="0"/>
        <v>2.4500000000000002</v>
      </c>
      <c r="F10" s="133">
        <f t="shared" si="1"/>
        <v>0.02</v>
      </c>
      <c r="G10" s="133">
        <f t="shared" si="2"/>
        <v>4.9000000000000002E-2</v>
      </c>
      <c r="H10" s="125"/>
    </row>
    <row r="11" spans="1:8" ht="18.75" x14ac:dyDescent="0.3">
      <c r="A11" s="131" t="s">
        <v>22</v>
      </c>
      <c r="B11" s="112">
        <v>107</v>
      </c>
      <c r="C11" s="132">
        <v>2.2000000000000002</v>
      </c>
      <c r="D11" s="133">
        <v>0.25</v>
      </c>
      <c r="E11" s="133">
        <f t="shared" si="0"/>
        <v>2.4500000000000002</v>
      </c>
      <c r="F11" s="133">
        <f t="shared" si="1"/>
        <v>1.4E-2</v>
      </c>
      <c r="G11" s="133">
        <f t="shared" si="2"/>
        <v>3.4000000000000002E-2</v>
      </c>
      <c r="H11" s="125"/>
    </row>
    <row r="12" spans="1:8" ht="18.75" x14ac:dyDescent="0.3">
      <c r="A12" s="131" t="s">
        <v>23</v>
      </c>
      <c r="B12" s="112">
        <v>68</v>
      </c>
      <c r="C12" s="132">
        <v>2.2000000000000002</v>
      </c>
      <c r="D12" s="133">
        <v>0.25</v>
      </c>
      <c r="E12" s="133">
        <f t="shared" si="0"/>
        <v>2.4500000000000002</v>
      </c>
      <c r="F12" s="133">
        <f t="shared" si="1"/>
        <v>8.9999999999999993E-3</v>
      </c>
      <c r="G12" s="133">
        <f t="shared" si="2"/>
        <v>2.1999999999999999E-2</v>
      </c>
      <c r="H12" s="125"/>
    </row>
    <row r="13" spans="1:8" ht="15.75" x14ac:dyDescent="0.2">
      <c r="A13" s="134" t="s">
        <v>36</v>
      </c>
      <c r="B13" s="135">
        <f>B7+B8+B9+B10+B11+B12</f>
        <v>7706</v>
      </c>
      <c r="C13" s="133">
        <v>2.2000000000000002</v>
      </c>
      <c r="D13" s="136">
        <v>0.25</v>
      </c>
      <c r="E13" s="133">
        <f t="shared" si="0"/>
        <v>2.4500000000000002</v>
      </c>
      <c r="F13" s="136">
        <f>B13/$B$13</f>
        <v>1</v>
      </c>
      <c r="G13" s="137">
        <f>SUM(G7:G12)</f>
        <v>2.4499999999999997</v>
      </c>
      <c r="H13" s="138"/>
    </row>
    <row r="14" spans="1:8" x14ac:dyDescent="0.2">
      <c r="B14" s="139"/>
      <c r="C14" s="139"/>
      <c r="D14" s="139"/>
      <c r="E14" s="139"/>
      <c r="F14" s="139"/>
      <c r="G14" s="139"/>
    </row>
    <row r="15" spans="1:8" x14ac:dyDescent="0.2">
      <c r="F15" s="140"/>
    </row>
    <row r="16" spans="1:8" x14ac:dyDescent="0.2">
      <c r="A16" s="141" t="s">
        <v>76</v>
      </c>
    </row>
    <row r="18" spans="1:7" ht="27.75" customHeight="1" x14ac:dyDescent="0.2">
      <c r="A18" s="215" t="s">
        <v>77</v>
      </c>
      <c r="B18" s="216"/>
      <c r="C18" s="216"/>
      <c r="D18" s="216"/>
      <c r="E18" s="216"/>
      <c r="F18" s="216"/>
      <c r="G18" s="216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179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F12" sqref="F11:F12"/>
    </sheetView>
  </sheetViews>
  <sheetFormatPr defaultRowHeight="12.75" x14ac:dyDescent="0.2"/>
  <cols>
    <col min="1" max="1" width="19.28515625" style="124" customWidth="1"/>
    <col min="2" max="2" width="18" style="124" customWidth="1"/>
    <col min="3" max="3" width="17" style="124" customWidth="1"/>
    <col min="4" max="4" width="14.7109375" style="124" customWidth="1"/>
    <col min="5" max="6" width="15.7109375" style="124" customWidth="1"/>
    <col min="7" max="7" width="17.28515625" style="124" customWidth="1"/>
    <col min="8" max="8" width="14.42578125" style="124" customWidth="1"/>
    <col min="9" max="16384" width="9.140625" style="124"/>
  </cols>
  <sheetData>
    <row r="1" spans="1:10" ht="15.75" x14ac:dyDescent="0.25">
      <c r="A1" s="218" t="s">
        <v>154</v>
      </c>
      <c r="B1" s="218"/>
      <c r="C1" s="218"/>
      <c r="D1" s="218"/>
      <c r="E1" s="218"/>
      <c r="F1" s="218"/>
      <c r="G1" s="218"/>
      <c r="H1" s="218"/>
    </row>
    <row r="2" spans="1:10" ht="15.75" x14ac:dyDescent="0.25">
      <c r="A2" s="31" t="s">
        <v>60</v>
      </c>
      <c r="B2" s="31"/>
      <c r="C2" s="31"/>
      <c r="D2" s="31"/>
      <c r="E2" s="31"/>
      <c r="F2" s="31"/>
      <c r="G2" s="31"/>
      <c r="H2" s="31"/>
    </row>
    <row r="3" spans="1:10" ht="15.75" x14ac:dyDescent="0.2">
      <c r="A3" s="219" t="s">
        <v>25</v>
      </c>
      <c r="B3" s="219" t="s">
        <v>138</v>
      </c>
      <c r="C3" s="220" t="s">
        <v>65</v>
      </c>
      <c r="D3" s="219" t="s">
        <v>62</v>
      </c>
      <c r="E3" s="220" t="s">
        <v>72</v>
      </c>
      <c r="F3" s="142"/>
      <c r="G3" s="219" t="s">
        <v>71</v>
      </c>
      <c r="H3" s="220" t="s">
        <v>61</v>
      </c>
    </row>
    <row r="4" spans="1:10" ht="95.25" customHeight="1" x14ac:dyDescent="0.2">
      <c r="A4" s="219"/>
      <c r="B4" s="219"/>
      <c r="C4" s="221"/>
      <c r="D4" s="219"/>
      <c r="E4" s="221"/>
      <c r="F4" s="143" t="s">
        <v>68</v>
      </c>
      <c r="G4" s="219"/>
      <c r="H4" s="221"/>
      <c r="I4" s="141" t="s">
        <v>63</v>
      </c>
    </row>
    <row r="5" spans="1:10" ht="15.75" x14ac:dyDescent="0.25">
      <c r="A5" s="144">
        <v>1</v>
      </c>
      <c r="B5" s="145">
        <v>2</v>
      </c>
      <c r="C5" s="145">
        <v>3</v>
      </c>
      <c r="D5" s="145">
        <v>4</v>
      </c>
      <c r="E5" s="145">
        <v>5</v>
      </c>
      <c r="F5" s="145">
        <v>6</v>
      </c>
      <c r="G5" s="145">
        <v>7</v>
      </c>
      <c r="H5" s="145">
        <v>8</v>
      </c>
    </row>
    <row r="6" spans="1:10" ht="20.25" customHeight="1" x14ac:dyDescent="0.2">
      <c r="A6" s="146" t="s">
        <v>18</v>
      </c>
      <c r="B6" s="68">
        <f>ROUND(C6/E6,3)</f>
        <v>7.5</v>
      </c>
      <c r="C6" s="147">
        <v>15</v>
      </c>
      <c r="D6" s="68">
        <f>ROUND(B6/$B$12,3)</f>
        <v>0.105</v>
      </c>
      <c r="E6" s="148">
        <v>2</v>
      </c>
      <c r="F6" s="148">
        <v>1</v>
      </c>
      <c r="G6" s="68">
        <f>E6/E12</f>
        <v>0.25</v>
      </c>
      <c r="H6" s="68">
        <f t="shared" ref="H6:H12" si="0">D6+G6</f>
        <v>0.35499999999999998</v>
      </c>
      <c r="I6" s="124">
        <f>B6/F12</f>
        <v>1.25</v>
      </c>
      <c r="J6" s="124">
        <f>B6/I6</f>
        <v>6</v>
      </c>
    </row>
    <row r="7" spans="1:10" ht="20.25" customHeight="1" x14ac:dyDescent="0.2">
      <c r="A7" s="146" t="s">
        <v>19</v>
      </c>
      <c r="B7" s="68">
        <f t="shared" ref="B7:B11" si="1">ROUND(C7/E7,3)</f>
        <v>45</v>
      </c>
      <c r="C7" s="147">
        <v>45</v>
      </c>
      <c r="D7" s="68">
        <f>B7/B12</f>
        <v>0.62827225130890052</v>
      </c>
      <c r="E7" s="148">
        <v>1</v>
      </c>
      <c r="F7" s="148">
        <v>1</v>
      </c>
      <c r="G7" s="68">
        <f>E7/E12</f>
        <v>0.125</v>
      </c>
      <c r="H7" s="68">
        <f t="shared" si="0"/>
        <v>0.75327225130890052</v>
      </c>
      <c r="I7" s="124">
        <f>B7/F12</f>
        <v>7.5</v>
      </c>
    </row>
    <row r="8" spans="1:10" ht="20.25" customHeight="1" x14ac:dyDescent="0.2">
      <c r="A8" s="146" t="s">
        <v>20</v>
      </c>
      <c r="B8" s="68">
        <v>90</v>
      </c>
      <c r="C8" s="147">
        <v>90</v>
      </c>
      <c r="D8" s="68">
        <f>ROUND(B8/$B$12,3)</f>
        <v>1.2569999999999999</v>
      </c>
      <c r="E8" s="148">
        <v>1</v>
      </c>
      <c r="F8" s="148">
        <v>1</v>
      </c>
      <c r="G8" s="68">
        <f>E8/E12</f>
        <v>0.125</v>
      </c>
      <c r="H8" s="68">
        <f t="shared" si="0"/>
        <v>1.3819999999999999</v>
      </c>
      <c r="I8" s="124">
        <f>B8/F12</f>
        <v>15</v>
      </c>
    </row>
    <row r="9" spans="1:10" ht="20.25" customHeight="1" x14ac:dyDescent="0.2">
      <c r="A9" s="146" t="s">
        <v>21</v>
      </c>
      <c r="B9" s="68">
        <f t="shared" si="1"/>
        <v>150</v>
      </c>
      <c r="C9" s="147">
        <v>150</v>
      </c>
      <c r="D9" s="68">
        <f>ROUND(B9/$B$12,3)</f>
        <v>2.0939999999999999</v>
      </c>
      <c r="E9" s="148">
        <v>1</v>
      </c>
      <c r="F9" s="148">
        <v>1</v>
      </c>
      <c r="G9" s="68">
        <f>E9/E12</f>
        <v>0.125</v>
      </c>
      <c r="H9" s="68">
        <f t="shared" si="0"/>
        <v>2.2189999999999999</v>
      </c>
      <c r="I9" s="124">
        <f>B9/F12</f>
        <v>25</v>
      </c>
    </row>
    <row r="10" spans="1:10" ht="20.25" customHeight="1" x14ac:dyDescent="0.2">
      <c r="A10" s="146" t="s">
        <v>22</v>
      </c>
      <c r="B10" s="68">
        <f t="shared" si="1"/>
        <v>190</v>
      </c>
      <c r="C10" s="147">
        <v>190</v>
      </c>
      <c r="D10" s="68">
        <f>ROUND(B10/$B$12,3)</f>
        <v>2.653</v>
      </c>
      <c r="E10" s="148">
        <v>1</v>
      </c>
      <c r="F10" s="148">
        <v>1</v>
      </c>
      <c r="G10" s="68">
        <f>E10/E12</f>
        <v>0.125</v>
      </c>
      <c r="H10" s="68">
        <f t="shared" si="0"/>
        <v>2.778</v>
      </c>
      <c r="I10" s="124">
        <f>B10/F12</f>
        <v>31.666666666666668</v>
      </c>
    </row>
    <row r="11" spans="1:10" ht="20.25" customHeight="1" x14ac:dyDescent="0.2">
      <c r="A11" s="146" t="s">
        <v>23</v>
      </c>
      <c r="B11" s="68">
        <f t="shared" si="1"/>
        <v>41.5</v>
      </c>
      <c r="C11" s="147">
        <v>83</v>
      </c>
      <c r="D11" s="68">
        <f>ROUND(B11/$B$12,3)</f>
        <v>0.57899999999999996</v>
      </c>
      <c r="E11" s="148">
        <v>2</v>
      </c>
      <c r="F11" s="148">
        <v>1</v>
      </c>
      <c r="G11" s="68">
        <f>E11/E12</f>
        <v>0.25</v>
      </c>
      <c r="H11" s="68">
        <f t="shared" si="0"/>
        <v>0.82899999999999996</v>
      </c>
      <c r="I11" s="124">
        <f>B11/F12</f>
        <v>6.916666666666667</v>
      </c>
    </row>
    <row r="12" spans="1:10" ht="20.25" customHeight="1" x14ac:dyDescent="0.25">
      <c r="A12" s="149" t="s">
        <v>31</v>
      </c>
      <c r="B12" s="68">
        <f>C12/E12</f>
        <v>71.625</v>
      </c>
      <c r="C12" s="150">
        <f>SUM(C6:C11)</f>
        <v>573</v>
      </c>
      <c r="D12" s="151">
        <v>1</v>
      </c>
      <c r="E12" s="150">
        <f>E11+E10+E9+E8+E7+E6</f>
        <v>8</v>
      </c>
      <c r="F12" s="150">
        <f>F11+F10+F9+F8+F7+F6</f>
        <v>6</v>
      </c>
      <c r="G12" s="152">
        <v>1</v>
      </c>
      <c r="H12" s="68">
        <f t="shared" si="0"/>
        <v>2</v>
      </c>
      <c r="I12" s="124">
        <f>B12/F12</f>
        <v>11.9375</v>
      </c>
    </row>
    <row r="14" spans="1:10" ht="15.75" x14ac:dyDescent="0.25">
      <c r="B14" s="31" t="s">
        <v>69</v>
      </c>
      <c r="C14" s="31"/>
      <c r="D14" s="31"/>
      <c r="E14" s="31"/>
      <c r="F14" s="31"/>
    </row>
    <row r="15" spans="1:10" ht="15.75" x14ac:dyDescent="0.25">
      <c r="B15" s="31"/>
      <c r="C15" s="31"/>
      <c r="D15" s="31"/>
      <c r="E15" s="31"/>
      <c r="F15" s="31"/>
    </row>
    <row r="16" spans="1:10" ht="15.75" customHeight="1" x14ac:dyDescent="0.25">
      <c r="A16" s="217" t="s">
        <v>66</v>
      </c>
      <c r="B16" s="216"/>
      <c r="C16" s="217" t="s">
        <v>64</v>
      </c>
      <c r="D16" s="216"/>
      <c r="E16" s="217" t="s">
        <v>67</v>
      </c>
      <c r="F16" s="217"/>
      <c r="G16" s="31" t="s">
        <v>70</v>
      </c>
    </row>
    <row r="17" spans="1:6" ht="15.75" x14ac:dyDescent="0.25">
      <c r="B17" s="31"/>
      <c r="C17" s="31"/>
      <c r="D17" s="31"/>
      <c r="E17" s="31"/>
      <c r="F17" s="31"/>
    </row>
    <row r="18" spans="1:6" ht="15.75" x14ac:dyDescent="0.25">
      <c r="A18" s="141"/>
      <c r="B18" s="31"/>
      <c r="C18" s="31" t="s">
        <v>78</v>
      </c>
      <c r="D18" s="31"/>
      <c r="E18" s="31" t="s">
        <v>79</v>
      </c>
      <c r="F18" s="31"/>
    </row>
    <row r="19" spans="1:6" ht="15.75" x14ac:dyDescent="0.25">
      <c r="B19" s="31"/>
      <c r="C19" s="31" t="s">
        <v>80</v>
      </c>
      <c r="D19" s="31"/>
      <c r="E19" s="31" t="s">
        <v>81</v>
      </c>
      <c r="F19" s="31"/>
    </row>
    <row r="20" spans="1:6" ht="15.75" x14ac:dyDescent="0.25">
      <c r="B20" s="31"/>
      <c r="C20" s="31"/>
      <c r="D20" s="31"/>
      <c r="E20" s="31"/>
      <c r="F20" s="31"/>
    </row>
    <row r="21" spans="1:6" ht="15.75" x14ac:dyDescent="0.25">
      <c r="B21" s="31"/>
      <c r="C21" s="31"/>
      <c r="D21" s="31"/>
      <c r="E21" s="31"/>
      <c r="F21" s="31"/>
    </row>
    <row r="22" spans="1:6" ht="15.75" x14ac:dyDescent="0.25">
      <c r="B22" s="31"/>
      <c r="C22" s="31"/>
      <c r="D22" s="31"/>
      <c r="E22" s="31"/>
      <c r="F22" s="31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180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H28" sqref="H27:H28"/>
    </sheetView>
  </sheetViews>
  <sheetFormatPr defaultRowHeight="12.75" x14ac:dyDescent="0.2"/>
  <cols>
    <col min="1" max="1" width="19.28515625" style="124" customWidth="1"/>
    <col min="2" max="2" width="17.85546875" style="124" customWidth="1"/>
    <col min="3" max="3" width="16.85546875" style="124" customWidth="1"/>
    <col min="4" max="4" width="15.7109375" style="124" customWidth="1"/>
    <col min="5" max="5" width="14.7109375" style="124" customWidth="1"/>
    <col min="6" max="16384" width="9.140625" style="124"/>
  </cols>
  <sheetData>
    <row r="1" spans="1:5" ht="15.75" x14ac:dyDescent="0.25">
      <c r="A1" s="218" t="s">
        <v>155</v>
      </c>
      <c r="B1" s="218"/>
      <c r="C1" s="218"/>
      <c r="D1" s="218"/>
      <c r="E1" s="218"/>
    </row>
    <row r="2" spans="1:5" ht="15.75" x14ac:dyDescent="0.25">
      <c r="A2" s="31" t="s">
        <v>97</v>
      </c>
      <c r="B2" s="31"/>
      <c r="C2" s="31"/>
      <c r="D2" s="31"/>
      <c r="E2" s="31"/>
    </row>
    <row r="3" spans="1:5" x14ac:dyDescent="0.2">
      <c r="A3" s="219" t="s">
        <v>25</v>
      </c>
      <c r="B3" s="220" t="s">
        <v>142</v>
      </c>
      <c r="C3" s="222" t="s">
        <v>143</v>
      </c>
      <c r="D3" s="220" t="s">
        <v>38</v>
      </c>
      <c r="E3" s="220" t="s">
        <v>82</v>
      </c>
    </row>
    <row r="4" spans="1:5" ht="54.75" customHeight="1" x14ac:dyDescent="0.2">
      <c r="A4" s="219"/>
      <c r="B4" s="221"/>
      <c r="C4" s="222"/>
      <c r="D4" s="221"/>
      <c r="E4" s="221"/>
    </row>
    <row r="5" spans="1:5" ht="15.75" x14ac:dyDescent="0.25">
      <c r="A5" s="144">
        <v>1</v>
      </c>
      <c r="B5" s="153">
        <v>2</v>
      </c>
      <c r="C5" s="154">
        <v>3</v>
      </c>
      <c r="D5" s="145">
        <v>4</v>
      </c>
      <c r="E5" s="145">
        <v>5</v>
      </c>
    </row>
    <row r="6" spans="1:5" ht="20.25" customHeight="1" x14ac:dyDescent="0.3">
      <c r="A6" s="146" t="s">
        <v>18</v>
      </c>
      <c r="B6" s="112">
        <v>6642</v>
      </c>
      <c r="C6" s="155"/>
      <c r="D6" s="68">
        <f>C6/B6</f>
        <v>0</v>
      </c>
      <c r="E6" s="68">
        <f>D6+1</f>
        <v>1</v>
      </c>
    </row>
    <row r="7" spans="1:5" ht="20.25" customHeight="1" x14ac:dyDescent="0.3">
      <c r="A7" s="146" t="s">
        <v>19</v>
      </c>
      <c r="B7" s="112">
        <v>365</v>
      </c>
      <c r="C7" s="155"/>
      <c r="D7" s="68">
        <f t="shared" ref="D7:D12" si="0">C7/B7</f>
        <v>0</v>
      </c>
      <c r="E7" s="68">
        <f t="shared" ref="E7:E12" si="1">D7+1</f>
        <v>1</v>
      </c>
    </row>
    <row r="8" spans="1:5" ht="20.25" customHeight="1" x14ac:dyDescent="0.3">
      <c r="A8" s="146" t="s">
        <v>20</v>
      </c>
      <c r="B8" s="112">
        <v>372</v>
      </c>
      <c r="C8" s="155"/>
      <c r="D8" s="68">
        <f t="shared" si="0"/>
        <v>0</v>
      </c>
      <c r="E8" s="68">
        <f t="shared" si="1"/>
        <v>1</v>
      </c>
    </row>
    <row r="9" spans="1:5" ht="20.25" customHeight="1" x14ac:dyDescent="0.3">
      <c r="A9" s="146" t="s">
        <v>21</v>
      </c>
      <c r="B9" s="112">
        <v>152</v>
      </c>
      <c r="C9" s="155"/>
      <c r="D9" s="68">
        <f t="shared" si="0"/>
        <v>0</v>
      </c>
      <c r="E9" s="68">
        <f t="shared" si="1"/>
        <v>1</v>
      </c>
    </row>
    <row r="10" spans="1:5" ht="20.25" customHeight="1" x14ac:dyDescent="0.3">
      <c r="A10" s="146" t="s">
        <v>22</v>
      </c>
      <c r="B10" s="112">
        <v>107</v>
      </c>
      <c r="C10" s="155"/>
      <c r="D10" s="68">
        <f t="shared" si="0"/>
        <v>0</v>
      </c>
      <c r="E10" s="68">
        <f t="shared" si="1"/>
        <v>1</v>
      </c>
    </row>
    <row r="11" spans="1:5" ht="20.25" customHeight="1" x14ac:dyDescent="0.3">
      <c r="A11" s="146" t="s">
        <v>23</v>
      </c>
      <c r="B11" s="112">
        <v>68</v>
      </c>
      <c r="C11" s="155"/>
      <c r="D11" s="68">
        <f t="shared" si="0"/>
        <v>0</v>
      </c>
      <c r="E11" s="68">
        <f t="shared" si="1"/>
        <v>1</v>
      </c>
    </row>
    <row r="12" spans="1:5" ht="16.5" thickBot="1" x14ac:dyDescent="0.3">
      <c r="A12" s="149" t="s">
        <v>31</v>
      </c>
      <c r="B12" s="156">
        <f>B6+B7+B8+B9+B10+B11</f>
        <v>7706</v>
      </c>
      <c r="C12" s="157">
        <f>SUM(C6:C11)</f>
        <v>0</v>
      </c>
      <c r="D12" s="68">
        <f t="shared" si="0"/>
        <v>0</v>
      </c>
      <c r="E12" s="68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81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10</vt:i4>
      </vt:variant>
    </vt:vector>
  </HeadingPairs>
  <TitlesOfParts>
    <vt:vector size="24" baseType="lpstr">
      <vt:lpstr>171-172  расчет дотации</vt:lpstr>
      <vt:lpstr>173 индекс бюджетных расходов</vt:lpstr>
      <vt:lpstr>175 удельный вес расходов</vt:lpstr>
      <vt:lpstr>176. коэф. на удорож стои ЖКУ</vt:lpstr>
      <vt:lpstr>177 Коэф. дифферен-ии зар. пла</vt:lpstr>
      <vt:lpstr>178 коэф. на дисперстность</vt:lpstr>
      <vt:lpstr>179 ред взвешан коэ на диф з.п</vt:lpstr>
      <vt:lpstr>180.коэф. транспортной доступ</vt:lpstr>
      <vt:lpstr>181коэф урбанизации</vt:lpstr>
      <vt:lpstr>182 коэф. благоустройства</vt:lpstr>
      <vt:lpstr>183 структ жил фонда</vt:lpstr>
      <vt:lpstr>184 .коэф. концентр населения</vt:lpstr>
      <vt:lpstr>185 расчет дотации на сбалан</vt:lpstr>
      <vt:lpstr>Лист1</vt:lpstr>
      <vt:lpstr>'171-172  расчет дотации'!Заголовки_для_печати</vt:lpstr>
      <vt:lpstr>'173 индекс бюджетных расходов'!Заголовки_для_печати</vt:lpstr>
      <vt:lpstr>'171-172  расчет дотации'!Область_печати</vt:lpstr>
      <vt:lpstr>'175 удельный вес расходов'!Область_печати</vt:lpstr>
      <vt:lpstr>'176. коэф. на удорож стои ЖКУ'!Область_печати</vt:lpstr>
      <vt:lpstr>'179 ред взвешан коэ на диф з.п'!Область_печати</vt:lpstr>
      <vt:lpstr>'180.коэф. транспортной доступ'!Область_печати</vt:lpstr>
      <vt:lpstr>'183 структ жил фонда'!Область_печати</vt:lpstr>
      <vt:lpstr>'184 .коэф. концентр населения'!Область_печати</vt:lpstr>
      <vt:lpstr>'185 расчет дотации на сбалан'!Область_печати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2021-11-01T09:02:37Z</cp:lastPrinted>
  <dcterms:created xsi:type="dcterms:W3CDTF">1996-10-08T23:32:33Z</dcterms:created>
  <dcterms:modified xsi:type="dcterms:W3CDTF">2021-11-01T09:02:49Z</dcterms:modified>
</cp:coreProperties>
</file>