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\Desktop\Великая\Документы и материалы к проекту бюджета на 2022-2024 - 1\"/>
    </mc:Choice>
  </mc:AlternateContent>
  <bookViews>
    <workbookView xWindow="0" yWindow="0" windowWidth="28800" windowHeight="12435" firstSheet="9" activeTab="11"/>
  </bookViews>
  <sheets>
    <sheet name="156-157 индекс бюдж-ых расходов" sheetId="1" r:id="rId1"/>
    <sheet name="158-160 расчет дотации" sheetId="23" r:id="rId2"/>
    <sheet name="161 удельный вес расходов" sheetId="13" r:id="rId3"/>
    <sheet name="162  коэф. на удорож стои ЖКУ" sheetId="15" r:id="rId4"/>
    <sheet name="163 Коэф. дифферен-ии зар. пла" sheetId="2" r:id="rId5"/>
    <sheet name="164 коэф. на дисперстность" sheetId="14" r:id="rId6"/>
    <sheet name="165 сред взв коэ на диферен з.п" sheetId="16" r:id="rId7"/>
    <sheet name="166 коэф. транспортной доступ" sheetId="18" r:id="rId8"/>
    <sheet name="167 коэф урбанизации" sheetId="20" r:id="rId9"/>
    <sheet name="168 коэф. благоустройства" sheetId="21" r:id="rId10"/>
    <sheet name="169 структ жил фонда" sheetId="17" r:id="rId11"/>
    <sheet name="170 .коэф. концентр населения" sheetId="3" r:id="rId12"/>
    <sheet name="базовые расходы 2020" sheetId="19" r:id="rId13"/>
    <sheet name="Лист1" sheetId="22" r:id="rId14"/>
  </sheets>
  <definedNames>
    <definedName name="_xlnm.Print_Titles" localSheetId="0">'156-157 индекс бюдж-ых расходов'!$A:$A</definedName>
    <definedName name="_xlnm.Print_Area" localSheetId="2">'161 удельный вес расходов'!$A$1:$O$12</definedName>
    <definedName name="_xlnm.Print_Area" localSheetId="3">'162  коэф. на удорож стои ЖКУ'!$A$1:$C$15</definedName>
    <definedName name="_xlnm.Print_Area" localSheetId="6">'165 сред взв коэ на диферен з.п'!$A$1:$G$18</definedName>
    <definedName name="_xlnm.Print_Area" localSheetId="7">'166 коэф. транспортной доступ'!$A$1:$H$17</definedName>
    <definedName name="_xlnm.Print_Area" localSheetId="10">'169 структ жил фонда'!$A$1:$F$20</definedName>
    <definedName name="_xlnm.Print_Area" localSheetId="11">'170 .коэф. концентр населения'!$A$1:$D$14</definedName>
  </definedNames>
  <calcPr calcId="152511"/>
</workbook>
</file>

<file path=xl/calcChain.xml><?xml version="1.0" encoding="utf-8"?>
<calcChain xmlns="http://schemas.openxmlformats.org/spreadsheetml/2006/main">
  <c r="AB14" i="23" l="1"/>
  <c r="AA14" i="23"/>
  <c r="R14" i="23"/>
  <c r="G14" i="23"/>
  <c r="B14" i="23"/>
  <c r="AD13" i="23"/>
  <c r="AD14" i="23" s="1"/>
  <c r="C13" i="23"/>
  <c r="H13" i="23" s="1"/>
  <c r="AD12" i="23"/>
  <c r="C12" i="23"/>
  <c r="H12" i="23" s="1"/>
  <c r="AD11" i="23"/>
  <c r="C11" i="23"/>
  <c r="H11" i="23" s="1"/>
  <c r="AD10" i="23"/>
  <c r="C10" i="23"/>
  <c r="H10" i="23" s="1"/>
  <c r="AD9" i="23"/>
  <c r="C9" i="23"/>
  <c r="H9" i="23" s="1"/>
  <c r="AD8" i="23"/>
  <c r="H8" i="23"/>
  <c r="C8" i="23"/>
  <c r="I10" i="23" l="1"/>
  <c r="K10" i="23" s="1"/>
  <c r="S10" i="23" s="1"/>
  <c r="I9" i="23"/>
  <c r="K9" i="23" s="1"/>
  <c r="C14" i="23"/>
  <c r="E14" i="23" s="1"/>
  <c r="H14" i="23"/>
  <c r="I12" i="23" s="1"/>
  <c r="K12" i="23" s="1"/>
  <c r="V12" i="23" l="1"/>
  <c r="O12" i="23"/>
  <c r="P12" i="23" s="1"/>
  <c r="S12" i="23"/>
  <c r="O9" i="23"/>
  <c r="P9" i="23" s="1"/>
  <c r="S9" i="23"/>
  <c r="V9" i="23"/>
  <c r="I13" i="23"/>
  <c r="K13" i="23" s="1"/>
  <c r="I8" i="23"/>
  <c r="K8" i="23" s="1"/>
  <c r="V10" i="23"/>
  <c r="O10" i="23"/>
  <c r="P10" i="23" s="1"/>
  <c r="F8" i="23"/>
  <c r="F13" i="23"/>
  <c r="F12" i="23"/>
  <c r="F11" i="23"/>
  <c r="F10" i="23"/>
  <c r="I11" i="23"/>
  <c r="K11" i="23" s="1"/>
  <c r="F14" i="23" l="1"/>
  <c r="V13" i="23"/>
  <c r="O13" i="23"/>
  <c r="P13" i="23" s="1"/>
  <c r="S13" i="23"/>
  <c r="O11" i="23"/>
  <c r="P11" i="23" s="1"/>
  <c r="V11" i="23"/>
  <c r="S11" i="23"/>
  <c r="O8" i="23"/>
  <c r="P8" i="23" s="1"/>
  <c r="V8" i="23"/>
  <c r="S8" i="23"/>
  <c r="S14" i="23" l="1"/>
  <c r="T8" i="23"/>
  <c r="P14" i="23"/>
  <c r="T13" i="23"/>
  <c r="Q8" i="23" l="1"/>
  <c r="Q13" i="23"/>
  <c r="Q11" i="23"/>
  <c r="Q10" i="23"/>
  <c r="Q12" i="23"/>
  <c r="Q9" i="23"/>
  <c r="T10" i="23"/>
  <c r="T12" i="23"/>
  <c r="T9" i="23"/>
  <c r="T11" i="23"/>
  <c r="T14" i="23" l="1"/>
  <c r="U19" i="23"/>
  <c r="U11" i="23"/>
  <c r="U18" i="23"/>
  <c r="U10" i="23"/>
  <c r="U17" i="23"/>
  <c r="U9" i="23"/>
  <c r="U21" i="23"/>
  <c r="U13" i="23"/>
  <c r="U20" i="23"/>
  <c r="U12" i="23"/>
  <c r="U16" i="23"/>
  <c r="Q14" i="23"/>
  <c r="U8" i="23"/>
  <c r="AC9" i="23" l="1"/>
  <c r="X9" i="23"/>
  <c r="Y9" i="23"/>
  <c r="X8" i="23"/>
  <c r="AC8" i="23"/>
  <c r="Y8" i="23"/>
  <c r="AC12" i="23"/>
  <c r="X12" i="23"/>
  <c r="Y12" i="23"/>
  <c r="AC11" i="23"/>
  <c r="X11" i="23"/>
  <c r="Y11" i="23"/>
  <c r="U22" i="23"/>
  <c r="U14" i="23"/>
  <c r="X14" i="23" s="1"/>
  <c r="AC13" i="23"/>
  <c r="AC14" i="23" s="1"/>
  <c r="X13" i="23"/>
  <c r="Y13" i="23"/>
  <c r="AC10" i="23"/>
  <c r="X10" i="23"/>
  <c r="Y10" i="23"/>
  <c r="M10" i="13" l="1"/>
  <c r="B37" i="22" l="1"/>
  <c r="H35" i="22"/>
  <c r="G35" i="22"/>
  <c r="F35" i="22"/>
  <c r="E35" i="22"/>
  <c r="D35" i="22"/>
  <c r="C35" i="22"/>
  <c r="B34" i="22"/>
  <c r="B33" i="22"/>
  <c r="B32" i="22"/>
  <c r="B31" i="22"/>
  <c r="B30" i="22"/>
  <c r="B29" i="22"/>
  <c r="B28" i="22"/>
  <c r="B27" i="22"/>
  <c r="B26" i="22"/>
  <c r="B25" i="22"/>
  <c r="B24" i="22"/>
  <c r="H23" i="22"/>
  <c r="G23" i="22"/>
  <c r="F23" i="22"/>
  <c r="E23" i="22"/>
  <c r="D23" i="22"/>
  <c r="C23" i="22"/>
  <c r="B22" i="22"/>
  <c r="B23" i="22" s="1"/>
  <c r="H21" i="22"/>
  <c r="G21" i="22"/>
  <c r="F21" i="22"/>
  <c r="E21" i="22"/>
  <c r="D21" i="22"/>
  <c r="C21" i="22"/>
  <c r="B20" i="22"/>
  <c r="B19" i="22"/>
  <c r="B18" i="22"/>
  <c r="B17" i="22"/>
  <c r="H16" i="22"/>
  <c r="G16" i="22"/>
  <c r="F16" i="22"/>
  <c r="E16" i="22"/>
  <c r="D16" i="22"/>
  <c r="C16" i="22"/>
  <c r="B15" i="22"/>
  <c r="H14" i="22"/>
  <c r="G14" i="22"/>
  <c r="F14" i="22"/>
  <c r="E14" i="22"/>
  <c r="D14" i="22"/>
  <c r="C14" i="22"/>
  <c r="B13" i="22"/>
  <c r="B12" i="22"/>
  <c r="B14" i="22" s="1"/>
  <c r="H11" i="22"/>
  <c r="G11" i="22"/>
  <c r="F11" i="22"/>
  <c r="E11" i="22"/>
  <c r="D11" i="22"/>
  <c r="C11" i="22"/>
  <c r="B10" i="22"/>
  <c r="B9" i="22"/>
  <c r="B8" i="22"/>
  <c r="B7" i="22"/>
  <c r="E36" i="22" l="1"/>
  <c r="F36" i="22"/>
  <c r="B11" i="22"/>
  <c r="B16" i="22"/>
  <c r="H36" i="22"/>
  <c r="B21" i="22"/>
  <c r="C36" i="22"/>
  <c r="G36" i="22"/>
  <c r="D36" i="22"/>
  <c r="B35" i="22"/>
  <c r="B36" i="22" s="1"/>
  <c r="C10" i="15" l="1"/>
  <c r="C9" i="15"/>
  <c r="C8" i="15"/>
  <c r="C7" i="15"/>
  <c r="C6" i="15"/>
  <c r="F90" i="19" l="1"/>
  <c r="F89" i="19"/>
  <c r="F88" i="19"/>
  <c r="F87" i="19"/>
  <c r="F86" i="19"/>
  <c r="E85" i="19"/>
  <c r="F85" i="19" s="1"/>
  <c r="F84" i="19"/>
  <c r="F83" i="19"/>
  <c r="F82" i="19"/>
  <c r="F81" i="19"/>
  <c r="F80" i="19"/>
  <c r="F79" i="19"/>
  <c r="G78" i="19"/>
  <c r="E78" i="19"/>
  <c r="D78" i="19"/>
  <c r="C78" i="19"/>
  <c r="F77" i="19"/>
  <c r="F76" i="19"/>
  <c r="F75" i="19"/>
  <c r="F74" i="19"/>
  <c r="F73" i="19"/>
  <c r="E72" i="19"/>
  <c r="F72" i="19" s="1"/>
  <c r="F71" i="19"/>
  <c r="F70" i="19"/>
  <c r="F69" i="19"/>
  <c r="F68" i="19"/>
  <c r="G67" i="19"/>
  <c r="E67" i="19"/>
  <c r="D67" i="19"/>
  <c r="C67" i="19"/>
  <c r="F66" i="19"/>
  <c r="F65" i="19"/>
  <c r="F64" i="19"/>
  <c r="F63" i="19"/>
  <c r="F62" i="19"/>
  <c r="F61" i="19"/>
  <c r="F60" i="19"/>
  <c r="E59" i="19"/>
  <c r="F59" i="19" s="1"/>
  <c r="F58" i="19"/>
  <c r="F57" i="19"/>
  <c r="F56" i="19"/>
  <c r="F55" i="19"/>
  <c r="F54" i="19"/>
  <c r="F53" i="19"/>
  <c r="G52" i="19"/>
  <c r="E52" i="19"/>
  <c r="D52" i="19"/>
  <c r="C52" i="19"/>
  <c r="F51" i="19"/>
  <c r="F50" i="19"/>
  <c r="F49" i="19"/>
  <c r="F48" i="19"/>
  <c r="F47" i="19"/>
  <c r="F46" i="19"/>
  <c r="F45" i="19"/>
  <c r="E44" i="19"/>
  <c r="F44" i="19" s="1"/>
  <c r="F43" i="19"/>
  <c r="F42" i="19"/>
  <c r="F41" i="19"/>
  <c r="F40" i="19"/>
  <c r="F39" i="19"/>
  <c r="F38" i="19"/>
  <c r="F37" i="19"/>
  <c r="G36" i="19"/>
  <c r="D36" i="19"/>
  <c r="C36" i="19"/>
  <c r="F35" i="19"/>
  <c r="F34" i="19"/>
  <c r="F33" i="19"/>
  <c r="F32" i="19"/>
  <c r="F31" i="19"/>
  <c r="F30" i="19"/>
  <c r="F29" i="19"/>
  <c r="F28" i="19"/>
  <c r="F27" i="19"/>
  <c r="E26" i="19"/>
  <c r="F26" i="19" s="1"/>
  <c r="F25" i="19"/>
  <c r="F24" i="19"/>
  <c r="F23" i="19"/>
  <c r="F22" i="19"/>
  <c r="F21" i="19"/>
  <c r="F20" i="19"/>
  <c r="F19" i="19"/>
  <c r="F18" i="19"/>
  <c r="F17" i="19"/>
  <c r="G16" i="19"/>
  <c r="D16" i="19"/>
  <c r="C16" i="19"/>
  <c r="F15" i="19"/>
  <c r="F14" i="19"/>
  <c r="F13" i="19"/>
  <c r="F12" i="19"/>
  <c r="E11" i="19"/>
  <c r="F11" i="19" s="1"/>
  <c r="F10" i="19"/>
  <c r="F9" i="19"/>
  <c r="F8" i="19"/>
  <c r="F7" i="19"/>
  <c r="F6" i="19"/>
  <c r="G5" i="19"/>
  <c r="G4" i="19" s="1"/>
  <c r="D5" i="19"/>
  <c r="C5" i="19"/>
  <c r="D4" i="19" l="1"/>
  <c r="E36" i="19"/>
  <c r="E5" i="19"/>
  <c r="E16" i="19"/>
  <c r="E4" i="19" s="1"/>
  <c r="F67" i="19"/>
  <c r="F52" i="19"/>
  <c r="F36" i="19"/>
  <c r="F16" i="19"/>
  <c r="C4" i="19"/>
  <c r="F5" i="19"/>
  <c r="F78" i="19"/>
  <c r="F4" i="19" l="1"/>
  <c r="K10" i="13" l="1"/>
  <c r="O8" i="13" l="1"/>
  <c r="D8" i="13" s="1"/>
  <c r="O7" i="13"/>
  <c r="O6" i="13"/>
  <c r="O5" i="13"/>
  <c r="I10" i="13"/>
  <c r="G10" i="13"/>
  <c r="O9" i="13"/>
  <c r="E10" i="13"/>
  <c r="C10" i="13"/>
  <c r="L7" i="13"/>
  <c r="O4" i="13"/>
  <c r="F9" i="13" l="1"/>
  <c r="H9" i="13"/>
  <c r="F7" i="13"/>
  <c r="J7" i="13"/>
  <c r="J5" i="13"/>
  <c r="H5" i="13"/>
  <c r="L5" i="13"/>
  <c r="H8" i="13"/>
  <c r="B8" i="13"/>
  <c r="F8" i="13"/>
  <c r="D7" i="13"/>
  <c r="J6" i="13"/>
  <c r="H6" i="13"/>
  <c r="F6" i="13"/>
  <c r="L8" i="13"/>
  <c r="B7" i="13"/>
  <c r="H7" i="13"/>
  <c r="L6" i="13"/>
  <c r="D6" i="13"/>
  <c r="B5" i="13"/>
  <c r="F5" i="13"/>
  <c r="B9" i="13"/>
  <c r="O10" i="13"/>
  <c r="L9" i="13"/>
  <c r="D9" i="13"/>
  <c r="J4" i="13"/>
  <c r="F4" i="13"/>
  <c r="B4" i="13"/>
  <c r="L4" i="13"/>
  <c r="H4" i="13"/>
  <c r="B10" i="13" l="1"/>
  <c r="L10" i="13"/>
  <c r="N5" i="13"/>
  <c r="N7" i="13"/>
  <c r="N8" i="13"/>
  <c r="N6" i="13"/>
  <c r="H10" i="13"/>
  <c r="F10" i="13"/>
  <c r="D10" i="13"/>
  <c r="N9" i="13"/>
  <c r="N4" i="13"/>
  <c r="N10" i="13" l="1"/>
  <c r="D11" i="14"/>
  <c r="D10" i="14"/>
  <c r="B11" i="21" l="1"/>
  <c r="S13" i="1" l="1"/>
  <c r="M13" i="1" l="1"/>
  <c r="H13" i="1"/>
  <c r="C13" i="1"/>
  <c r="P13" i="1"/>
  <c r="F11" i="21"/>
  <c r="G10" i="21" s="1"/>
  <c r="D11" i="21"/>
  <c r="E9" i="21" s="1"/>
  <c r="C10" i="21"/>
  <c r="C12" i="20"/>
  <c r="B12" i="20"/>
  <c r="D11" i="20"/>
  <c r="E11" i="20" s="1"/>
  <c r="J12" i="1" s="1"/>
  <c r="D10" i="20"/>
  <c r="E10" i="20" s="1"/>
  <c r="W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W7" i="1" s="1"/>
  <c r="F12" i="18"/>
  <c r="B9" i="18"/>
  <c r="B7" i="18"/>
  <c r="B6" i="18"/>
  <c r="E10" i="21" l="1"/>
  <c r="H10" i="21" s="1"/>
  <c r="P12" i="1" s="1"/>
  <c r="E6" i="21"/>
  <c r="E7" i="21"/>
  <c r="E8" i="21"/>
  <c r="E5" i="21"/>
  <c r="W10" i="1"/>
  <c r="W8" i="1"/>
  <c r="W12" i="1"/>
  <c r="G5" i="21"/>
  <c r="G6" i="21"/>
  <c r="G7" i="21"/>
  <c r="G8" i="21"/>
  <c r="G9" i="21"/>
  <c r="C5" i="21"/>
  <c r="C7" i="21"/>
  <c r="C9" i="21"/>
  <c r="C6" i="21"/>
  <c r="C8" i="21"/>
  <c r="J7" i="1"/>
  <c r="J9" i="1"/>
  <c r="J11" i="1"/>
  <c r="D12" i="20"/>
  <c r="E12" i="20" s="1"/>
  <c r="I11" i="18"/>
  <c r="I10" i="18"/>
  <c r="I9" i="18"/>
  <c r="I8" i="18"/>
  <c r="I7" i="18"/>
  <c r="I6" i="18"/>
  <c r="J6" i="18" s="1"/>
  <c r="H12" i="18"/>
  <c r="E13" i="1" s="1"/>
  <c r="E12" i="18"/>
  <c r="G6" i="18" s="1"/>
  <c r="C12" i="18"/>
  <c r="B12" i="18" s="1"/>
  <c r="G11" i="18"/>
  <c r="G10" i="18"/>
  <c r="G9" i="18"/>
  <c r="G8" i="18"/>
  <c r="H6" i="21" l="1"/>
  <c r="P8" i="1" s="1"/>
  <c r="H9" i="21"/>
  <c r="P11" i="1" s="1"/>
  <c r="H5" i="21"/>
  <c r="P7" i="1" s="1"/>
  <c r="D6" i="18"/>
  <c r="I12" i="18"/>
  <c r="H8" i="21"/>
  <c r="P10" i="1" s="1"/>
  <c r="H7" i="21"/>
  <c r="P9" i="1" s="1"/>
  <c r="W13" i="1"/>
  <c r="J13" i="1"/>
  <c r="H6" i="18"/>
  <c r="E7" i="1" s="1"/>
  <c r="G7" i="18"/>
  <c r="D8" i="18"/>
  <c r="H8" i="18" s="1"/>
  <c r="E9" i="1" s="1"/>
  <c r="D9" i="18"/>
  <c r="H9" i="18" s="1"/>
  <c r="E10" i="1" s="1"/>
  <c r="D10" i="18"/>
  <c r="H10" i="18" s="1"/>
  <c r="E11" i="1" s="1"/>
  <c r="D11" i="18"/>
  <c r="H11" i="18" s="1"/>
  <c r="E12" i="1" s="1"/>
  <c r="D7" i="18"/>
  <c r="C14" i="17"/>
  <c r="B14" i="17"/>
  <c r="D10" i="17"/>
  <c r="D9" i="17"/>
  <c r="E13" i="16"/>
  <c r="B13" i="16"/>
  <c r="F13" i="16" s="1"/>
  <c r="E12" i="16"/>
  <c r="E11" i="16"/>
  <c r="E10" i="16"/>
  <c r="E9" i="16"/>
  <c r="E8" i="16"/>
  <c r="E7" i="16"/>
  <c r="C11" i="15"/>
  <c r="C12" i="14"/>
  <c r="B12" i="14"/>
  <c r="E11" i="14"/>
  <c r="G12" i="2" s="1"/>
  <c r="E10" i="14"/>
  <c r="G11" i="2" s="1"/>
  <c r="D9" i="14"/>
  <c r="E9" i="14" s="1"/>
  <c r="G10" i="2" s="1"/>
  <c r="D8" i="14"/>
  <c r="E8" i="14" s="1"/>
  <c r="G9" i="2" s="1"/>
  <c r="D7" i="14"/>
  <c r="E7" i="14" s="1"/>
  <c r="G8" i="2" s="1"/>
  <c r="D6" i="14"/>
  <c r="E6" i="14" s="1"/>
  <c r="G7" i="2" s="1"/>
  <c r="D14" i="17" l="1"/>
  <c r="E14" i="17"/>
  <c r="F9" i="17" s="1"/>
  <c r="S8" i="1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D12" i="14"/>
  <c r="E12" i="14" s="1"/>
  <c r="G13" i="2" s="1"/>
  <c r="M10" i="1"/>
  <c r="H10" i="1"/>
  <c r="C10" i="1"/>
  <c r="M7" i="1"/>
  <c r="H7" i="1"/>
  <c r="C7" i="1"/>
  <c r="M9" i="1"/>
  <c r="H9" i="1"/>
  <c r="C9" i="1"/>
  <c r="M11" i="1"/>
  <c r="H11" i="1"/>
  <c r="C11" i="1"/>
  <c r="M8" i="1"/>
  <c r="H8" i="1"/>
  <c r="C8" i="1"/>
  <c r="M12" i="1"/>
  <c r="C12" i="1"/>
  <c r="H12" i="1"/>
  <c r="H7" i="18"/>
  <c r="E8" i="1" s="1"/>
  <c r="F12" i="17" l="1"/>
  <c r="S11" i="1" s="1"/>
  <c r="F11" i="17"/>
  <c r="S10" i="1" s="1"/>
  <c r="F8" i="17"/>
  <c r="S7" i="1" s="1"/>
  <c r="F10" i="17"/>
  <c r="S9" i="1" s="1"/>
  <c r="F13" i="17"/>
  <c r="S12" i="1" s="1"/>
  <c r="G13" i="16"/>
  <c r="D13" i="3" l="1"/>
  <c r="D8" i="3"/>
  <c r="R7" i="1" l="1"/>
  <c r="U12" i="1"/>
  <c r="U11" i="1"/>
  <c r="R10" i="1"/>
  <c r="R9" i="1"/>
  <c r="U8" i="1"/>
  <c r="R13" i="1" l="1"/>
  <c r="L7" i="1"/>
  <c r="G7" i="1"/>
  <c r="O7" i="1"/>
  <c r="U7" i="1"/>
  <c r="B7" i="1"/>
  <c r="B8" i="1"/>
  <c r="L8" i="1"/>
  <c r="R8" i="1"/>
  <c r="G9" i="1"/>
  <c r="O9" i="1"/>
  <c r="U9" i="1"/>
  <c r="G10" i="1"/>
  <c r="O10" i="1"/>
  <c r="U10" i="1"/>
  <c r="B11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U13" i="1" l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I12" i="1" s="1"/>
  <c r="F11" i="2"/>
  <c r="H11" i="2" s="1"/>
  <c r="D11" i="1" s="1"/>
  <c r="F8" i="2"/>
  <c r="H8" i="2" s="1"/>
  <c r="I8" i="1" s="1"/>
  <c r="F7" i="2"/>
  <c r="H7" i="2" s="1"/>
  <c r="D7" i="1" s="1"/>
  <c r="D12" i="1" l="1"/>
  <c r="I11" i="1"/>
  <c r="I7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9" i="1" l="1"/>
  <c r="D9" i="1"/>
  <c r="I10" i="1"/>
  <c r="D10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13" i="1" l="1"/>
  <c r="Y8" i="1"/>
  <c r="Y9" i="1"/>
  <c r="Y7" i="1"/>
  <c r="Y12" i="1"/>
  <c r="Y10" i="1"/>
  <c r="Y11" i="1"/>
</calcChain>
</file>

<file path=xl/sharedStrings.xml><?xml version="1.0" encoding="utf-8"?>
<sst xmlns="http://schemas.openxmlformats.org/spreadsheetml/2006/main" count="477" uniqueCount="235">
  <si>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</si>
  <si>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</si>
  <si>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</si>
  <si>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</si>
  <si>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</si>
  <si>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</si>
  <si>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</si>
  <si>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</si>
  <si>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</si>
  <si>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</si>
  <si>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</si>
  <si>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</si>
  <si>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</si>
  <si>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</si>
  <si>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</si>
  <si>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</si>
  <si>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</si>
  <si>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</si>
  <si>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</si>
  <si>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</si>
  <si>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</si>
  <si>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</si>
  <si>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</si>
  <si>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</si>
  <si>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</si>
  <si>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</si>
  <si>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</si>
  <si>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</si>
  <si>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</si>
  <si>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</si>
  <si>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</si>
  <si>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</si>
  <si>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</si>
  <si>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</si>
  <si>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>Районный коэффициент
Северная надбавка</t>
  </si>
  <si>
    <t xml:space="preserve">25-% Надбавка к з/п за работу в сельской местности (гр.4*0,25/гр.3) </t>
  </si>
  <si>
    <t>Итого районный коэффициент + северная надбавка + 25% надбавка за работу в сельской местности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</si>
  <si>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</si>
  <si>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</si>
  <si>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</si>
  <si>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</si>
  <si>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</si>
  <si>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</si>
  <si>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</si>
  <si>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</si>
  <si>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</si>
  <si>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</si>
  <si>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</si>
  <si>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</si>
  <si>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</si>
  <si>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</si>
  <si>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0409</t>
  </si>
  <si>
    <t>0503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</si>
  <si>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</si>
  <si>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</si>
  <si>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</si>
  <si>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</si>
  <si>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</si>
  <si>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</si>
  <si>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</si>
  <si>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0102</t>
  </si>
  <si>
    <t>0103</t>
  </si>
  <si>
    <t>0104</t>
  </si>
  <si>
    <t>0106</t>
  </si>
  <si>
    <t>1101</t>
  </si>
  <si>
    <t>0502</t>
  </si>
  <si>
    <t>0501</t>
  </si>
  <si>
    <t>0111</t>
  </si>
  <si>
    <t>0113</t>
  </si>
  <si>
    <t>0412</t>
  </si>
  <si>
    <t>1003</t>
  </si>
  <si>
    <t>0310</t>
  </si>
  <si>
    <t>Кзпj = (Крj +  Ксевнj + Кснj) * Кдисj)/ Кдифзп</t>
  </si>
  <si>
    <t>1.2.4.</t>
  </si>
  <si>
    <t>1.2.3.</t>
  </si>
  <si>
    <r>
      <t xml:space="preserve">Коэффициент удорожания стоимости жилищно-коммунальных услуг (гр, 2/ср. по району гр. 2,  </t>
    </r>
    <r>
      <rPr>
        <b/>
        <sz val="14"/>
        <rFont val="Times New Roman"/>
        <family val="1"/>
        <charset val="204"/>
      </rPr>
      <t xml:space="preserve"> Кжкуj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</si>
  <si>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</si>
  <si>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</si>
  <si>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</si>
  <si>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</si>
  <si>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</si>
  <si>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</si>
  <si>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</si>
  <si>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</si>
  <si>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</si>
  <si>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</si>
  <si>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</si>
  <si>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</si>
  <si>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</si>
  <si>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</si>
  <si>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</si>
  <si>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r>
      <t xml:space="preserve">средневзвешанное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</si>
  <si>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</si>
  <si>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</si>
  <si>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</si>
  <si>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</si>
  <si>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</si>
  <si>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</si>
  <si>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</si>
  <si>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</si>
  <si>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</si>
  <si>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</si>
  <si>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</si>
  <si>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</si>
  <si>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</si>
  <si>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</si>
  <si>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</si>
  <si>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</si>
  <si>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</si>
  <si>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</si>
  <si>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</si>
  <si>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</si>
  <si>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</si>
  <si>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</si>
  <si>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</si>
  <si>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</si>
  <si>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</si>
  <si>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>Численность населения, проживающего в населенных пунктах с численностью до 500 человек (чел.)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</si>
  <si>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</si>
  <si>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t>Сумма (тыс. руб.)</t>
  </si>
  <si>
    <t>0107</t>
  </si>
  <si>
    <t>0309</t>
  </si>
  <si>
    <t>Бюджет</t>
  </si>
  <si>
    <t>КФСР</t>
  </si>
  <si>
    <t>Итого</t>
  </si>
  <si>
    <t>Бюджет "Северное сельское поселение"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</si>
  <si>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</si>
  <si>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</si>
  <si>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</si>
  <si>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</si>
  <si>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</si>
  <si>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</si>
  <si>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дорожный фонд (акцизы)</t>
  </si>
  <si>
    <t>Благоустройство</t>
  </si>
  <si>
    <t>Культура</t>
  </si>
  <si>
    <t>Социальное обеспечение населения</t>
  </si>
  <si>
    <t>Физическая культура</t>
  </si>
  <si>
    <t>Бюджет муниципального образования "Александровское сельское поселение"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</si>
  <si>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</si>
  <si>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</si>
  <si>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Обеспечение пожарной безопасности</t>
  </si>
  <si>
    <t>Другие вопросы в области национальной экономики</t>
  </si>
  <si>
    <t>Жилищное хозяйство</t>
  </si>
  <si>
    <t>Коммунальное хозяйство</t>
  </si>
  <si>
    <t>Телевидение и радиовещание</t>
  </si>
  <si>
    <t>Периодическая печать и издательства</t>
  </si>
  <si>
    <t>Бюджет муниципального образования "Лукашкин-Ярское сельское поселение"</t>
  </si>
  <si>
    <t>Защита населения и территории от чрезвычайных ситуаций природного и техногенного характера, гражданская оборона</t>
  </si>
  <si>
    <t>Бюджет муниципального образования "Назинское сельское поселение"</t>
  </si>
  <si>
    <t>Другие вопросы в области культуры, кинематографии</t>
  </si>
  <si>
    <t>Бюджет муниципального образования "Новоникольское сельское поселение"</t>
  </si>
  <si>
    <t>Бюджет муниципального образования "Октябрьское сельское поселение"</t>
  </si>
  <si>
    <t>0801</t>
  </si>
  <si>
    <t>1201</t>
  </si>
  <si>
    <t>1202</t>
  </si>
  <si>
    <t>0804</t>
  </si>
  <si>
    <t xml:space="preserve">Проект на  2021 год </t>
  </si>
  <si>
    <t>Дополнительно на 2022год рост ком. услуг</t>
  </si>
  <si>
    <t>Дополнительно на 2022 год за счет увеличения акцизов</t>
  </si>
  <si>
    <t>Всего базовые расходы на 2022 год</t>
  </si>
  <si>
    <t>справочно акцизы в 2022 г.</t>
  </si>
  <si>
    <t>Сумма        (тыс. руб.)</t>
  </si>
  <si>
    <t>ВСЕГО 1.</t>
  </si>
  <si>
    <t>0801, 0804</t>
  </si>
  <si>
    <t xml:space="preserve"> Всего 2.</t>
  </si>
  <si>
    <t>Всего 3.</t>
  </si>
  <si>
    <t>0409 за счет остатка на начало года</t>
  </si>
  <si>
    <t>за счет прочих доходов</t>
  </si>
  <si>
    <t xml:space="preserve">акцизы </t>
  </si>
  <si>
    <t>ВСЕГО 4.</t>
  </si>
  <si>
    <t>ВСЕГО 5.</t>
  </si>
  <si>
    <t xml:space="preserve"> </t>
  </si>
  <si>
    <t>ВСЕГО 6.</t>
  </si>
  <si>
    <t>Расходы бюджета</t>
  </si>
  <si>
    <t>Доходы бюджета</t>
  </si>
  <si>
    <t>0405</t>
  </si>
  <si>
    <t>0408</t>
  </si>
  <si>
    <t>0410</t>
  </si>
  <si>
    <t>0602</t>
  </si>
  <si>
    <t>1200</t>
  </si>
  <si>
    <r>
      <t xml:space="preserve">Прогноз средневзвешенного тарифа на тепловую энергию по бюджетным организациям на 2022 год (по данным Департамента тарифного регулирования), </t>
    </r>
    <r>
      <rPr>
        <b/>
        <sz val="14"/>
        <rFont val="Times New Roman"/>
        <family val="1"/>
        <charset val="204"/>
      </rPr>
      <t>tj</t>
    </r>
  </si>
  <si>
    <t>Коэффициента удорожания стоимости ЖКУ на 2023 год</t>
  </si>
  <si>
    <r>
      <t xml:space="preserve">Численность населения на 01.01.2021                 </t>
    </r>
    <r>
      <rPr>
        <b/>
        <sz val="14"/>
        <rFont val="Times New Roman"/>
        <family val="1"/>
        <charset val="204"/>
      </rPr>
      <t>( чел.), Чj/ Ч</t>
    </r>
  </si>
  <si>
    <t>коэффициента дифференциации заработной платы на 2023 год</t>
  </si>
  <si>
    <t>поправочного коэффициента на дисперсность расселения населения на 2023 год</t>
  </si>
  <si>
    <t>Численность населения на 01.01.2021         (чел.)</t>
  </si>
  <si>
    <t>для расчета ИБР на 2023 год</t>
  </si>
  <si>
    <r>
      <t xml:space="preserve">Численность населения на 01.01.2021 г., </t>
    </r>
    <r>
      <rPr>
        <b/>
        <sz val="12"/>
        <rFont val="Times New Roman"/>
        <family val="1"/>
        <charset val="204"/>
      </rPr>
      <t xml:space="preserve">Чj </t>
    </r>
  </si>
  <si>
    <t>Расчет коэффициента транспортной доступности на 2023 год</t>
  </si>
  <si>
    <t>Расчет коэффициента урбанизации на 2023 год</t>
  </si>
  <si>
    <t>Численность населения на 01.01.2021 ( чел.)</t>
  </si>
  <si>
    <t>Городское население на 01.01.2021 ( чел)</t>
  </si>
  <si>
    <t>коэффициента благоустройства на 2023 год</t>
  </si>
  <si>
    <t>площадь
улично-
дорожной 
сети на
01.01.2021,
тыс.кв.м.</t>
  </si>
  <si>
    <t>протяженность
освещенных
частей
улиц, проездов, набережных на
01.01.2021,
км.</t>
  </si>
  <si>
    <t xml:space="preserve">протяженность
дорог в
границах
населенных
пунктов на 
01.01.2021 км.
</t>
  </si>
  <si>
    <t>Численность населения на 01.01.2021, проживающего в муниципальном жилье ( чел.)</t>
  </si>
  <si>
    <r>
      <t xml:space="preserve">Площадь жилого фонда, находящегося в муниципальной собственности, на 01.01.2021 (кв.м), </t>
    </r>
    <r>
      <rPr>
        <b/>
        <sz val="12"/>
        <rFont val="Times New Roman"/>
        <family val="1"/>
        <charset val="204"/>
      </rPr>
      <t>ПЛмжфj</t>
    </r>
  </si>
  <si>
    <t>поправочного коэффициента на структуру жилого фонда на 2023 год</t>
  </si>
  <si>
    <t>численность
населения на
01.01.2021,
чел.</t>
  </si>
  <si>
    <t>численность
населения
административного
центра поселения
на 01.01.2021, чел.</t>
  </si>
  <si>
    <t>в административном центре поселения на 2023 год</t>
  </si>
  <si>
    <t>Расчет удельного веса расходов бюджетов поселений Александровского района на 2023 год</t>
  </si>
  <si>
    <t>индекса бюджетных расходов поселений на 2023 год</t>
  </si>
  <si>
    <t xml:space="preserve">распределения дотаций сельским поселениям Александровского района  на 2023 год </t>
  </si>
  <si>
    <t>наименование
сельского 
поселения</t>
  </si>
  <si>
    <t>численность
населения 
на 01.01.2021г.
чел.</t>
  </si>
  <si>
    <t>численность
населения 
скорректированная на индекс бюджетных расходов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</si>
  <si>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</si>
  <si>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</si>
  <si>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</si>
  <si>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</si>
  <si>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</si>
  <si>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</si>
  <si>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</si>
  <si>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</si>
  <si>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</si>
  <si>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</si>
  <si>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</si>
  <si>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</si>
  <si>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</si>
  <si>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</si>
  <si>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</si>
  <si>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</si>
  <si>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</si>
  <si>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</si>
  <si>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</si>
  <si>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</si>
  <si>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</si>
  <si>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гр23/итгр23*гр9</t>
  </si>
  <si>
    <t>ранжирование
после
выравнивания</t>
  </si>
  <si>
    <t>Базовые расходы</t>
  </si>
  <si>
    <t>собственные доходы</t>
  </si>
  <si>
    <t>Дотация на сбалансированность</t>
  </si>
  <si>
    <t>дотация за счет средств бюджета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</si>
</sst>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17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 CYR"/>
      <family val="1"/>
      <charset val="204"/>
    </font>
    <font>
      <sz val="10"/>
      <color rgb="FFFF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9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164" fontId="5" fillId="0" borderId="0" xfId="0" applyNumberFormat="1" applyFont="1" applyBorder="1"/>
    <xf numFmtId="2" fontId="5" fillId="0" borderId="0" xfId="0" applyNumberFormat="1" applyFont="1" applyBorder="1"/>
    <xf numFmtId="2" fontId="5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2" borderId="1" xfId="0" applyNumberFormat="1" applyFont="1" applyFill="1" applyBorder="1"/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left"/>
    </xf>
    <xf numFmtId="49" fontId="8" fillId="0" borderId="11" xfId="0" applyNumberFormat="1" applyFont="1" applyBorder="1" applyAlignment="1" applyProtection="1">
      <alignment horizontal="center"/>
    </xf>
    <xf numFmtId="3" fontId="8" fillId="0" borderId="11" xfId="0" applyNumberFormat="1" applyFont="1" applyBorder="1" applyAlignment="1" applyProtection="1">
      <alignment horizontal="right"/>
    </xf>
    <xf numFmtId="49" fontId="8" fillId="0" borderId="10" xfId="0" applyNumberFormat="1" applyFont="1" applyBorder="1" applyAlignment="1" applyProtection="1">
      <alignment horizontal="left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3" fontId="8" fillId="0" borderId="11" xfId="0" applyNumberFormat="1" applyFont="1" applyBorder="1" applyAlignment="1" applyProtection="1">
      <alignment horizontal="right" vertical="center" wrapText="1"/>
    </xf>
    <xf numFmtId="49" fontId="10" fillId="0" borderId="12" xfId="0" applyNumberFormat="1" applyFont="1" applyBorder="1" applyAlignment="1" applyProtection="1">
      <alignment horizontal="left" vertical="center" wrapText="1"/>
    </xf>
    <xf numFmtId="49" fontId="10" fillId="0" borderId="12" xfId="0" applyNumberFormat="1" applyFont="1" applyBorder="1" applyAlignment="1" applyProtection="1">
      <alignment horizontal="center" vertical="center" wrapText="1"/>
    </xf>
    <xf numFmtId="3" fontId="10" fillId="0" borderId="12" xfId="0" applyNumberFormat="1" applyFont="1" applyBorder="1" applyAlignment="1" applyProtection="1">
      <alignment horizontal="right" vertical="center" wrapText="1"/>
    </xf>
    <xf numFmtId="0" fontId="2" fillId="2" borderId="0" xfId="0" applyFont="1" applyFill="1"/>
    <xf numFmtId="164" fontId="2" fillId="2" borderId="0" xfId="0" applyNumberFormat="1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/>
    <xf numFmtId="0" fontId="7" fillId="2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/>
    <xf numFmtId="1" fontId="2" fillId="2" borderId="1" xfId="0" applyNumberFormat="1" applyFont="1" applyFill="1" applyBorder="1"/>
    <xf numFmtId="0" fontId="3" fillId="2" borderId="1" xfId="0" applyFont="1" applyFill="1" applyBorder="1"/>
    <xf numFmtId="165" fontId="3" fillId="2" borderId="1" xfId="0" applyNumberFormat="1" applyFont="1" applyFill="1" applyBorder="1"/>
    <xf numFmtId="164" fontId="3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0" xfId="0" applyNumberFormat="1" applyFont="1" applyFill="1" applyBorder="1" applyAlignment="1" applyProtection="1">
      <alignment vertical="top"/>
    </xf>
    <xf numFmtId="0" fontId="2" fillId="2" borderId="1" xfId="0" applyNumberFormat="1" applyFont="1" applyFill="1" applyBorder="1" applyAlignment="1" applyProtection="1">
      <alignment horizontal="left" vertical="top" indent="3"/>
    </xf>
    <xf numFmtId="49" fontId="2" fillId="2" borderId="1" xfId="0" applyNumberFormat="1" applyFont="1" applyFill="1" applyBorder="1" applyAlignment="1" applyProtection="1">
      <alignment horizontal="left" vertical="top" indent="8"/>
    </xf>
    <xf numFmtId="0" fontId="2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left" vertical="top" indent="4"/>
    </xf>
    <xf numFmtId="0" fontId="2" fillId="2" borderId="1" xfId="0" applyFont="1" applyFill="1" applyBorder="1" applyAlignment="1">
      <alignment horizontal="left" indent="1"/>
    </xf>
    <xf numFmtId="0" fontId="2" fillId="2" borderId="1" xfId="0" applyNumberFormat="1" applyFont="1" applyFill="1" applyBorder="1" applyAlignment="1" applyProtection="1">
      <alignment horizontal="right" vertical="top"/>
    </xf>
    <xf numFmtId="164" fontId="2" fillId="2" borderId="1" xfId="0" applyNumberFormat="1" applyFont="1" applyFill="1" applyBorder="1" applyAlignment="1" applyProtection="1">
      <alignment horizontal="right" vertical="top"/>
    </xf>
    <xf numFmtId="164" fontId="2" fillId="2" borderId="1" xfId="0" applyNumberFormat="1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 vertical="top"/>
    </xf>
    <xf numFmtId="164" fontId="3" fillId="2" borderId="1" xfId="0" applyNumberFormat="1" applyFont="1" applyFill="1" applyBorder="1" applyAlignment="1" applyProtection="1">
      <alignment horizontal="right" vertical="top"/>
    </xf>
    <xf numFmtId="164" fontId="2" fillId="2" borderId="0" xfId="0" applyNumberFormat="1" applyFont="1" applyFill="1" applyBorder="1" applyAlignment="1" applyProtection="1">
      <alignment vertical="top"/>
    </xf>
    <xf numFmtId="164" fontId="0" fillId="2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7" fontId="3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49" fontId="2" fillId="0" borderId="1" xfId="0" applyNumberFormat="1" applyFont="1" applyBorder="1" applyAlignment="1"/>
    <xf numFmtId="166" fontId="2" fillId="0" borderId="1" xfId="0" applyNumberFormat="1" applyFont="1" applyBorder="1"/>
    <xf numFmtId="49" fontId="2" fillId="3" borderId="1" xfId="0" applyNumberFormat="1" applyFont="1" applyFill="1" applyBorder="1" applyAlignment="1"/>
    <xf numFmtId="166" fontId="2" fillId="3" borderId="1" xfId="0" applyNumberFormat="1" applyFont="1" applyFill="1" applyBorder="1"/>
    <xf numFmtId="49" fontId="2" fillId="2" borderId="1" xfId="0" applyNumberFormat="1" applyFont="1" applyFill="1" applyBorder="1" applyAlignment="1"/>
    <xf numFmtId="166" fontId="3" fillId="2" borderId="1" xfId="0" applyNumberFormat="1" applyFont="1" applyFill="1" applyBorder="1"/>
    <xf numFmtId="0" fontId="2" fillId="2" borderId="1" xfId="0" applyNumberFormat="1" applyFont="1" applyFill="1" applyBorder="1" applyAlignment="1" applyProtection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3" fontId="13" fillId="0" borderId="1" xfId="0" applyNumberFormat="1" applyFont="1" applyBorder="1"/>
    <xf numFmtId="0" fontId="13" fillId="2" borderId="1" xfId="0" applyFont="1" applyFill="1" applyBorder="1"/>
    <xf numFmtId="4" fontId="13" fillId="0" borderId="1" xfId="0" applyNumberFormat="1" applyFont="1" applyBorder="1"/>
    <xf numFmtId="0" fontId="13" fillId="0" borderId="1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65" fontId="15" fillId="4" borderId="1" xfId="0" applyNumberFormat="1" applyFont="1" applyFill="1" applyBorder="1"/>
    <xf numFmtId="2" fontId="15" fillId="4" borderId="1" xfId="0" applyNumberFormat="1" applyFont="1" applyFill="1" applyBorder="1"/>
    <xf numFmtId="4" fontId="0" fillId="5" borderId="1" xfId="0" applyNumberFormat="1" applyFill="1" applyBorder="1"/>
    <xf numFmtId="165" fontId="13" fillId="0" borderId="1" xfId="0" applyNumberFormat="1" applyFont="1" applyBorder="1"/>
    <xf numFmtId="2" fontId="16" fillId="0" borderId="1" xfId="0" applyNumberFormat="1" applyFont="1" applyBorder="1"/>
    <xf numFmtId="164" fontId="0" fillId="2" borderId="1" xfId="0" applyNumberFormat="1" applyFill="1" applyBorder="1"/>
    <xf numFmtId="164" fontId="13" fillId="6" borderId="1" xfId="0" applyNumberFormat="1" applyFont="1" applyFill="1" applyBorder="1"/>
    <xf numFmtId="164" fontId="16" fillId="0" borderId="1" xfId="0" applyNumberFormat="1" applyFont="1" applyBorder="1"/>
    <xf numFmtId="164" fontId="13" fillId="0" borderId="1" xfId="0" applyNumberFormat="1" applyFont="1" applyBorder="1"/>
    <xf numFmtId="3" fontId="0" fillId="0" borderId="1" xfId="0" applyNumberFormat="1" applyBorder="1"/>
    <xf numFmtId="4" fontId="6" fillId="5" borderId="1" xfId="0" applyNumberFormat="1" applyFont="1" applyFill="1" applyBorder="1"/>
    <xf numFmtId="164" fontId="0" fillId="0" borderId="1" xfId="0" applyNumberFormat="1" applyBorder="1"/>
    <xf numFmtId="4" fontId="12" fillId="0" borderId="1" xfId="0" applyNumberFormat="1" applyFont="1" applyBorder="1"/>
    <xf numFmtId="164" fontId="0" fillId="7" borderId="1" xfId="0" applyNumberFormat="1" applyFill="1" applyBorder="1"/>
    <xf numFmtId="0" fontId="0" fillId="7" borderId="1" xfId="0" applyFill="1" applyBorder="1"/>
    <xf numFmtId="1" fontId="0" fillId="0" borderId="1" xfId="0" applyNumberFormat="1" applyBorder="1"/>
    <xf numFmtId="164" fontId="0" fillId="8" borderId="1" xfId="0" applyNumberFormat="1" applyFill="1" applyBorder="1"/>
    <xf numFmtId="0" fontId="0" fillId="8" borderId="1" xfId="0" applyFill="1" applyBorder="1"/>
    <xf numFmtId="4" fontId="0" fillId="0" borderId="1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6" fillId="0" borderId="1" xfId="0" applyNumberFormat="1" applyFont="1" applyFill="1" applyBorder="1"/>
    <xf numFmtId="164" fontId="6" fillId="0" borderId="1" xfId="0" applyNumberFormat="1" applyFont="1" applyBorder="1"/>
    <xf numFmtId="2" fontId="13" fillId="0" borderId="1" xfId="0" applyNumberFormat="1" applyFont="1" applyBorder="1"/>
    <xf numFmtId="4" fontId="13" fillId="5" borderId="1" xfId="0" applyNumberFormat="1" applyFont="1" applyFill="1" applyBorder="1"/>
    <xf numFmtId="165" fontId="13" fillId="9" borderId="1" xfId="0" applyNumberFormat="1" applyFont="1" applyFill="1" applyBorder="1"/>
    <xf numFmtId="166" fontId="12" fillId="0" borderId="1" xfId="0" applyNumberFormat="1" applyFont="1" applyBorder="1"/>
    <xf numFmtId="165" fontId="0" fillId="0" borderId="0" xfId="0" applyNumberFormat="1"/>
    <xf numFmtId="4" fontId="2" fillId="0" borderId="1" xfId="0" applyNumberFormat="1" applyFont="1" applyBorder="1"/>
    <xf numFmtId="165" fontId="0" fillId="0" borderId="1" xfId="0" applyNumberFormat="1" applyBorder="1"/>
    <xf numFmtId="167" fontId="0" fillId="0" borderId="0" xfId="0" applyNumberFormat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top"/>
    </xf>
    <xf numFmtId="0" fontId="6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BreakPreview" zoomScale="60" zoomScaleNormal="100" workbookViewId="0">
      <selection activeCell="U13" sqref="U13"/>
    </sheetView>
  </sheetViews>
  <sheetFormatPr defaultRowHeight="15.75" x14ac:dyDescent="0.25"/>
  <cols>
    <col min="1" max="1" width="19.28515625" style="36" customWidth="1"/>
    <col min="2" max="2" width="10.5703125" style="37" customWidth="1"/>
    <col min="3" max="3" width="13.85546875" style="36" customWidth="1"/>
    <col min="4" max="4" width="11.42578125" style="36" customWidth="1"/>
    <col min="5" max="5" width="16.7109375" style="36" customWidth="1"/>
    <col min="6" max="6" width="10.42578125" style="36" customWidth="1"/>
    <col min="7" max="7" width="10.5703125" style="36" customWidth="1"/>
    <col min="8" max="8" width="13.85546875" style="36" customWidth="1"/>
    <col min="9" max="9" width="11.42578125" style="36" customWidth="1"/>
    <col min="10" max="10" width="14.42578125" style="36" customWidth="1"/>
    <col min="11" max="11" width="11.85546875" style="36" customWidth="1"/>
    <col min="12" max="12" width="10.5703125" style="36" customWidth="1"/>
    <col min="13" max="13" width="13.85546875" style="36" customWidth="1"/>
    <col min="14" max="14" width="10" style="36" customWidth="1"/>
    <col min="15" max="15" width="10.5703125" style="36" customWidth="1"/>
    <col min="16" max="16" width="11.28515625" style="36" customWidth="1"/>
    <col min="17" max="17" width="11.140625" style="36" customWidth="1"/>
    <col min="18" max="18" width="10.5703125" style="36" customWidth="1"/>
    <col min="19" max="19" width="13" style="36" customWidth="1"/>
    <col min="20" max="20" width="14.140625" style="36" customWidth="1"/>
    <col min="21" max="21" width="10.5703125" style="36" customWidth="1"/>
    <col min="22" max="22" width="20.85546875" style="36" customWidth="1"/>
    <col min="23" max="23" width="12.5703125" style="36" customWidth="1"/>
    <col min="24" max="24" width="12" style="36" customWidth="1"/>
    <col min="25" max="25" width="16.5703125" style="36" customWidth="1"/>
    <col min="26" max="16384" width="9.140625" style="36"/>
  </cols>
  <sheetData>
    <row r="1" spans="1:26" x14ac:dyDescent="0.25">
      <c r="E1" s="167" t="s">
        <v>0</v>
      </c>
      <c r="F1" s="167"/>
      <c r="G1" s="167"/>
    </row>
    <row r="2" spans="1:26" x14ac:dyDescent="0.25">
      <c r="C2" s="167" t="s">
        <v>203</v>
      </c>
      <c r="D2" s="167"/>
      <c r="E2" s="167"/>
      <c r="F2" s="167"/>
      <c r="G2" s="167"/>
      <c r="H2" s="167"/>
      <c r="I2" s="167"/>
    </row>
    <row r="4" spans="1:26" ht="97.5" customHeight="1" x14ac:dyDescent="0.25">
      <c r="A4" s="165" t="s">
        <v>1</v>
      </c>
      <c r="B4" s="162" t="s">
        <v>2</v>
      </c>
      <c r="C4" s="163"/>
      <c r="D4" s="163"/>
      <c r="E4" s="163"/>
      <c r="F4" s="164"/>
      <c r="G4" s="168" t="s">
        <v>7</v>
      </c>
      <c r="H4" s="163"/>
      <c r="I4" s="163"/>
      <c r="J4" s="163"/>
      <c r="K4" s="164"/>
      <c r="L4" s="162" t="s">
        <v>9</v>
      </c>
      <c r="M4" s="163"/>
      <c r="N4" s="164"/>
      <c r="O4" s="169" t="s">
        <v>10</v>
      </c>
      <c r="P4" s="170"/>
      <c r="Q4" s="170"/>
      <c r="R4" s="162" t="s">
        <v>12</v>
      </c>
      <c r="S4" s="163"/>
      <c r="T4" s="164"/>
      <c r="U4" s="162" t="s">
        <v>14</v>
      </c>
      <c r="V4" s="163"/>
      <c r="W4" s="163"/>
      <c r="X4" s="164"/>
      <c r="Y4" s="165" t="s">
        <v>16</v>
      </c>
    </row>
    <row r="5" spans="1:26" ht="90.75" customHeight="1" x14ac:dyDescent="0.25">
      <c r="A5" s="166"/>
      <c r="B5" s="38" t="s">
        <v>3</v>
      </c>
      <c r="C5" s="39" t="s">
        <v>4</v>
      </c>
      <c r="D5" s="39" t="s">
        <v>5</v>
      </c>
      <c r="E5" s="39" t="s">
        <v>6</v>
      </c>
      <c r="F5" s="39" t="s">
        <v>53</v>
      </c>
      <c r="G5" s="39" t="s">
        <v>3</v>
      </c>
      <c r="H5" s="39" t="s">
        <v>4</v>
      </c>
      <c r="I5" s="39" t="s">
        <v>5</v>
      </c>
      <c r="J5" s="39" t="s">
        <v>8</v>
      </c>
      <c r="K5" s="39" t="s">
        <v>53</v>
      </c>
      <c r="L5" s="39" t="s">
        <v>3</v>
      </c>
      <c r="M5" s="39" t="s">
        <v>4</v>
      </c>
      <c r="N5" s="39" t="s">
        <v>53</v>
      </c>
      <c r="O5" s="39" t="s">
        <v>3</v>
      </c>
      <c r="P5" s="39" t="s">
        <v>11</v>
      </c>
      <c r="Q5" s="39" t="s">
        <v>53</v>
      </c>
      <c r="R5" s="39" t="s">
        <v>3</v>
      </c>
      <c r="S5" s="39" t="s">
        <v>13</v>
      </c>
      <c r="T5" s="39" t="s">
        <v>53</v>
      </c>
      <c r="U5" s="39" t="s">
        <v>3</v>
      </c>
      <c r="V5" s="39" t="s">
        <v>15</v>
      </c>
      <c r="W5" s="39" t="s">
        <v>8</v>
      </c>
      <c r="X5" s="39" t="s">
        <v>53</v>
      </c>
      <c r="Y5" s="166"/>
    </row>
    <row r="6" spans="1:26" x14ac:dyDescent="0.25">
      <c r="A6" s="18">
        <v>1</v>
      </c>
      <c r="B6" s="40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  <c r="T6" s="18">
        <v>20</v>
      </c>
      <c r="U6" s="18">
        <v>21</v>
      </c>
      <c r="V6" s="18">
        <v>22</v>
      </c>
      <c r="W6" s="18">
        <v>23</v>
      </c>
      <c r="X6" s="18">
        <v>24</v>
      </c>
      <c r="Y6" s="18">
        <v>25</v>
      </c>
    </row>
    <row r="7" spans="1:26" ht="30.75" customHeight="1" x14ac:dyDescent="0.25">
      <c r="A7" s="41" t="s">
        <v>18</v>
      </c>
      <c r="B7" s="42">
        <f>'161 удельный вес расходов'!B4</f>
        <v>0.32200000000000001</v>
      </c>
      <c r="C7" s="42">
        <f>'162  коэф. на удорож стои ЖКУ'!C6</f>
        <v>0.79200000000000004</v>
      </c>
      <c r="D7" s="42">
        <f>'163 Коэф. дифферен-ии зар. пла'!H7</f>
        <v>1.0094850948509488</v>
      </c>
      <c r="E7" s="42">
        <f>'166 коэф. транспортной доступ'!H6</f>
        <v>0.35499999999999998</v>
      </c>
      <c r="F7" s="42">
        <f t="shared" ref="F7:F13" si="0">ROUND(B7*C7*D7*E7,3)</f>
        <v>9.0999999999999998E-2</v>
      </c>
      <c r="G7" s="42">
        <f>'161 удельный вес расходов'!D4</f>
        <v>0.36</v>
      </c>
      <c r="H7" s="42">
        <f>'162  коэф. на удорож стои ЖКУ'!C6</f>
        <v>0.79200000000000004</v>
      </c>
      <c r="I7" s="42">
        <f>'163 Коэф. дифферен-ии зар. пла'!H7</f>
        <v>1.0094850948509488</v>
      </c>
      <c r="J7" s="42">
        <f>'167 коэф урбанизации'!E6</f>
        <v>1</v>
      </c>
      <c r="K7" s="42">
        <f>ROUND(G7*H7*I7*J7,3)</f>
        <v>0.28799999999999998</v>
      </c>
      <c r="L7" s="42">
        <f>'161 удельный вес расходов'!F4</f>
        <v>3.6999999999999998E-2</v>
      </c>
      <c r="M7" s="42">
        <f>'162  коэф. на удорож стои ЖКУ'!C6</f>
        <v>0.79200000000000004</v>
      </c>
      <c r="N7" s="42">
        <f>ROUND(L7*M7,3)</f>
        <v>2.9000000000000001E-2</v>
      </c>
      <c r="O7" s="42">
        <f>'161 удельный вес расходов'!H4</f>
        <v>0.16300000000000001</v>
      </c>
      <c r="P7" s="42">
        <f>'168 коэф. благоустройства'!H5</f>
        <v>3.2049835491048051</v>
      </c>
      <c r="Q7" s="42">
        <f>ROUND(O7*P7,3)</f>
        <v>0.52200000000000002</v>
      </c>
      <c r="R7" s="42">
        <f>'161 удельный вес расходов'!J4</f>
        <v>1.0999999999999999E-2</v>
      </c>
      <c r="S7" s="42">
        <f>'169 структ жил фонда'!F8</f>
        <v>0.497</v>
      </c>
      <c r="T7" s="42">
        <f>ROUND(R7*S7,3)</f>
        <v>5.0000000000000001E-3</v>
      </c>
      <c r="U7" s="42">
        <f>'161 удельный вес расходов'!L4</f>
        <v>0.11600000000000001</v>
      </c>
      <c r="V7" s="42">
        <f>'170 .коэф. концентр населения'!D8</f>
        <v>1.0089999999999999</v>
      </c>
      <c r="W7" s="42">
        <f>'167 коэф урбанизации'!E6</f>
        <v>1</v>
      </c>
      <c r="X7" s="42">
        <f>ROUND(U7*V7*W7,3)</f>
        <v>0.11700000000000001</v>
      </c>
      <c r="Y7" s="42">
        <f>ROUND(F7+K7+N7+Q7+T7+X7,3)</f>
        <v>1.052</v>
      </c>
    </row>
    <row r="8" spans="1:26" ht="33.75" customHeight="1" x14ac:dyDescent="0.25">
      <c r="A8" s="41" t="s">
        <v>19</v>
      </c>
      <c r="B8" s="42">
        <f>'161 удельный вес расходов'!B5</f>
        <v>0.66200000000000003</v>
      </c>
      <c r="C8" s="42">
        <f>'162  коэф. на удорож стои ЖКУ'!C7</f>
        <v>1.2490000000000001</v>
      </c>
      <c r="D8" s="42">
        <f>'163 Коэф. дифферен-ии зар. пла'!H8</f>
        <v>2.0000000000000004</v>
      </c>
      <c r="E8" s="42">
        <f>'166 коэф. транспортной доступ'!H7</f>
        <v>0.75327225130890052</v>
      </c>
      <c r="F8" s="42">
        <f t="shared" si="0"/>
        <v>1.246</v>
      </c>
      <c r="G8" s="42">
        <f>'161 удельный вес расходов'!D5</f>
        <v>0.155</v>
      </c>
      <c r="H8" s="42">
        <f>'162  коэф. на удорож стои ЖКУ'!C7</f>
        <v>1.2490000000000001</v>
      </c>
      <c r="I8" s="42">
        <f>'163 Коэф. дифферен-ии зар. пла'!H8</f>
        <v>2.0000000000000004</v>
      </c>
      <c r="J8" s="42">
        <f>'167 коэф урбанизации'!E7</f>
        <v>1</v>
      </c>
      <c r="K8" s="42">
        <f t="shared" ref="K8:K13" si="1">ROUND(G8*H8*I8*J8,3)</f>
        <v>0.38700000000000001</v>
      </c>
      <c r="L8" s="42">
        <f>'161 удельный вес расходов'!F5</f>
        <v>4.0000000000000001E-3</v>
      </c>
      <c r="M8" s="42">
        <f>'162  коэф. на удорож стои ЖКУ'!C7</f>
        <v>1.2490000000000001</v>
      </c>
      <c r="N8" s="42">
        <f t="shared" ref="N8:N13" si="2">ROUND(L8*M8,3)</f>
        <v>5.0000000000000001E-3</v>
      </c>
      <c r="O8" s="42">
        <f>'161 удельный вес расходов'!H5</f>
        <v>0.11899999999999999</v>
      </c>
      <c r="P8" s="42">
        <f>'168 коэф. благоустройства'!H6</f>
        <v>1.4083640363824148</v>
      </c>
      <c r="Q8" s="42">
        <f t="shared" ref="Q8:Q13" si="3">ROUND(O8*P8,3)</f>
        <v>0.16800000000000001</v>
      </c>
      <c r="R8" s="42">
        <f>'161 удельный вес расходов'!J5</f>
        <v>2E-3</v>
      </c>
      <c r="S8" s="42">
        <f>'169 структ жил фонда'!F9</f>
        <v>1.1459999999999999</v>
      </c>
      <c r="T8" s="42">
        <f t="shared" ref="T8:T13" si="4">ROUND(R8*S8,3)</f>
        <v>2E-3</v>
      </c>
      <c r="U8" s="42">
        <f>'161 удельный вес расходов'!L5</f>
        <v>6.5000000000000002E-2</v>
      </c>
      <c r="V8" s="42">
        <f>'170 .коэф. концентр населения'!D9</f>
        <v>1</v>
      </c>
      <c r="W8" s="42">
        <f>'167 коэф урбанизации'!E7</f>
        <v>1</v>
      </c>
      <c r="X8" s="42">
        <f t="shared" ref="X8:X13" si="5">ROUND(U8*V8*W8,3)</f>
        <v>6.5000000000000002E-2</v>
      </c>
      <c r="Y8" s="42">
        <f t="shared" ref="Y8:Y13" si="6">ROUND(F8+K8+N8+Q8+T8+X8,3)</f>
        <v>1.873</v>
      </c>
    </row>
    <row r="9" spans="1:26" ht="24.75" customHeight="1" x14ac:dyDescent="0.25">
      <c r="A9" s="41" t="s">
        <v>20</v>
      </c>
      <c r="B9" s="42">
        <f>'161 удельный вес расходов'!B6</f>
        <v>0.63500000000000001</v>
      </c>
      <c r="C9" s="42">
        <f>'162  коэф. на удорож стои ЖКУ'!C8</f>
        <v>1.5649999999999999</v>
      </c>
      <c r="D9" s="42">
        <f>'163 Коэф. дифферен-ии зар. пла'!H9</f>
        <v>2.0000000000000004</v>
      </c>
      <c r="E9" s="42">
        <f>'166 коэф. транспортной доступ'!H8</f>
        <v>1.5209999999999999</v>
      </c>
      <c r="F9" s="42">
        <f t="shared" si="0"/>
        <v>3.0230000000000001</v>
      </c>
      <c r="G9" s="42">
        <f>'161 удельный вес расходов'!D6</f>
        <v>0.14799999999999999</v>
      </c>
      <c r="H9" s="42">
        <f>'162  коэф. на удорож стои ЖКУ'!C8</f>
        <v>1.5649999999999999</v>
      </c>
      <c r="I9" s="42">
        <f>'163 Коэф. дифферен-ии зар. пла'!H9</f>
        <v>2.0000000000000004</v>
      </c>
      <c r="J9" s="42">
        <f>'167 коэф урбанизации'!E8</f>
        <v>1</v>
      </c>
      <c r="K9" s="42">
        <f t="shared" si="1"/>
        <v>0.46300000000000002</v>
      </c>
      <c r="L9" s="42">
        <f>'161 удельный вес расходов'!F6</f>
        <v>0.05</v>
      </c>
      <c r="M9" s="42">
        <f>'162  коэф. на удорож стои ЖКУ'!C8</f>
        <v>1.5649999999999999</v>
      </c>
      <c r="N9" s="42">
        <f t="shared" si="2"/>
        <v>7.8E-2</v>
      </c>
      <c r="O9" s="42">
        <f>'161 удельный вес расходов'!H6</f>
        <v>0.124</v>
      </c>
      <c r="P9" s="42">
        <f>'168 коэф. благоустройства'!H7</f>
        <v>1.7027359610987378</v>
      </c>
      <c r="Q9" s="42">
        <f t="shared" si="3"/>
        <v>0.21099999999999999</v>
      </c>
      <c r="R9" s="42">
        <f>'161 удельный вес расходов'!J6</f>
        <v>1E-3</v>
      </c>
      <c r="S9" s="42">
        <f>'169 структ жил фонда'!F10</f>
        <v>4</v>
      </c>
      <c r="T9" s="42">
        <f t="shared" si="4"/>
        <v>4.0000000000000001E-3</v>
      </c>
      <c r="U9" s="42">
        <f>'161 удельный вес расходов'!L6</f>
        <v>3.5999999999999997E-2</v>
      </c>
      <c r="V9" s="42">
        <f>'170 .коэф. концентр населения'!D10</f>
        <v>1</v>
      </c>
      <c r="W9" s="42">
        <f>'167 коэф урбанизации'!E8</f>
        <v>1</v>
      </c>
      <c r="X9" s="42">
        <f t="shared" si="5"/>
        <v>3.5999999999999997E-2</v>
      </c>
      <c r="Y9" s="42">
        <f t="shared" si="6"/>
        <v>3.8149999999999999</v>
      </c>
    </row>
    <row r="10" spans="1:26" ht="24.75" customHeight="1" x14ac:dyDescent="0.25">
      <c r="A10" s="41" t="s">
        <v>21</v>
      </c>
      <c r="B10" s="42">
        <f>'161 удельный вес расходов'!B7</f>
        <v>0.66200000000000003</v>
      </c>
      <c r="C10" s="42">
        <f>'162  коэф. на удорож стои ЖКУ'!C9</f>
        <v>3.5659999999999998</v>
      </c>
      <c r="D10" s="42">
        <f>'163 Коэф. дифферен-ии зар. пла'!H10</f>
        <v>2.0000000000000004</v>
      </c>
      <c r="E10" s="42">
        <f>'166 коэф. транспортной доступ'!H9</f>
        <v>2.2189999999999999</v>
      </c>
      <c r="F10" s="42">
        <f t="shared" si="0"/>
        <v>10.477</v>
      </c>
      <c r="G10" s="42">
        <f>'161 удельный вес расходов'!D7</f>
        <v>0.21</v>
      </c>
      <c r="H10" s="42">
        <f>'162  коэф. на удорож стои ЖКУ'!C9</f>
        <v>3.5659999999999998</v>
      </c>
      <c r="I10" s="42">
        <f>'163 Коэф. дифферен-ии зар. пла'!H10</f>
        <v>2.0000000000000004</v>
      </c>
      <c r="J10" s="42">
        <f>'167 коэф урбанизации'!E9</f>
        <v>1</v>
      </c>
      <c r="K10" s="42">
        <f t="shared" si="1"/>
        <v>1.498</v>
      </c>
      <c r="L10" s="42">
        <f>'161 удельный вес расходов'!F7</f>
        <v>0</v>
      </c>
      <c r="M10" s="42">
        <f>'162  коэф. на удорож стои ЖКУ'!C9</f>
        <v>3.5659999999999998</v>
      </c>
      <c r="N10" s="42">
        <f t="shared" si="2"/>
        <v>0</v>
      </c>
      <c r="O10" s="42">
        <f>'161 удельный вес расходов'!H7</f>
        <v>0.11799999999999999</v>
      </c>
      <c r="P10" s="42">
        <f>'168 коэф. благоустройства'!H8</f>
        <v>1.2469897712796316</v>
      </c>
      <c r="Q10" s="42">
        <f t="shared" si="3"/>
        <v>0.14699999999999999</v>
      </c>
      <c r="R10" s="42">
        <f>'161 удельный вес расходов'!J7</f>
        <v>0</v>
      </c>
      <c r="S10" s="42">
        <f>'169 структ жил фонда'!F11</f>
        <v>2.6150000000000002</v>
      </c>
      <c r="T10" s="42">
        <f t="shared" si="4"/>
        <v>0</v>
      </c>
      <c r="U10" s="42">
        <f>'161 удельный вес расходов'!L7</f>
        <v>8.9999999999999993E-3</v>
      </c>
      <c r="V10" s="42">
        <f>'170 .коэф. концентр населения'!D11</f>
        <v>1</v>
      </c>
      <c r="W10" s="42">
        <f>'167 коэф урбанизации'!E9</f>
        <v>1</v>
      </c>
      <c r="X10" s="42">
        <f t="shared" si="5"/>
        <v>8.9999999999999993E-3</v>
      </c>
      <c r="Y10" s="42">
        <f t="shared" si="6"/>
        <v>12.131</v>
      </c>
    </row>
    <row r="11" spans="1:26" ht="24.75" customHeight="1" x14ac:dyDescent="0.25">
      <c r="A11" s="41" t="s">
        <v>22</v>
      </c>
      <c r="B11" s="42">
        <f>'161 удельный вес расходов'!B8</f>
        <v>0.74299999999999999</v>
      </c>
      <c r="C11" s="42">
        <f>'162  коэф. на удорож стои ЖКУ'!C10</f>
        <v>1</v>
      </c>
      <c r="D11" s="42">
        <f>'163 Коэф. дифферен-ии зар. пла'!H11</f>
        <v>2.0000000000000004</v>
      </c>
      <c r="E11" s="42">
        <f>'166 коэф. транспортной доступ'!H10</f>
        <v>2.778</v>
      </c>
      <c r="F11" s="42">
        <f t="shared" si="0"/>
        <v>4.1280000000000001</v>
      </c>
      <c r="G11" s="42">
        <f>'161 удельный вес расходов'!D8</f>
        <v>0.14199999999999999</v>
      </c>
      <c r="H11" s="42">
        <f>'162  коэф. на удорож стои ЖКУ'!C10</f>
        <v>1</v>
      </c>
      <c r="I11" s="42">
        <f>'163 Коэф. дифферен-ии зар. пла'!H11</f>
        <v>2.0000000000000004</v>
      </c>
      <c r="J11" s="42">
        <f>'167 коэф урбанизации'!E10</f>
        <v>1</v>
      </c>
      <c r="K11" s="42">
        <f t="shared" si="1"/>
        <v>0.28399999999999997</v>
      </c>
      <c r="L11" s="42">
        <f>'161 удельный вес расходов'!F8</f>
        <v>0</v>
      </c>
      <c r="M11" s="42">
        <f>'162  коэф. на удорож стои ЖКУ'!C10</f>
        <v>1</v>
      </c>
      <c r="N11" s="42">
        <f t="shared" si="2"/>
        <v>0</v>
      </c>
      <c r="O11" s="42">
        <f>'161 удельный вес расходов'!H8</f>
        <v>7.0000000000000007E-2</v>
      </c>
      <c r="P11" s="42">
        <f>'168 коэф. благоустройства'!H9</f>
        <v>1.1927386630231689</v>
      </c>
      <c r="Q11" s="42">
        <f t="shared" si="3"/>
        <v>8.3000000000000004E-2</v>
      </c>
      <c r="R11" s="42">
        <f>'161 удельный вес расходов'!J8</f>
        <v>0</v>
      </c>
      <c r="S11" s="42">
        <f>'169 структ жил фонда'!F12</f>
        <v>16.3</v>
      </c>
      <c r="T11" s="42">
        <f t="shared" si="4"/>
        <v>0</v>
      </c>
      <c r="U11" s="42">
        <f>'161 удельный вес расходов'!L8</f>
        <v>4.4999999999999998E-2</v>
      </c>
      <c r="V11" s="42">
        <f>'170 .коэф. концентр населения'!D12</f>
        <v>1</v>
      </c>
      <c r="W11" s="42">
        <f>'167 коэф урбанизации'!E10</f>
        <v>1</v>
      </c>
      <c r="X11" s="42">
        <f t="shared" si="5"/>
        <v>4.4999999999999998E-2</v>
      </c>
      <c r="Y11" s="42">
        <f t="shared" si="6"/>
        <v>4.54</v>
      </c>
    </row>
    <row r="12" spans="1:26" ht="24.75" customHeight="1" x14ac:dyDescent="0.25">
      <c r="A12" s="41" t="s">
        <v>23</v>
      </c>
      <c r="B12" s="42">
        <f>'161 удельный вес расходов'!B9</f>
        <v>0.8</v>
      </c>
      <c r="C12" s="42">
        <f>'162  коэф. на удорож стои ЖКУ'!C11</f>
        <v>1</v>
      </c>
      <c r="D12" s="42">
        <f>'163 Коэф. дифферен-ии зар. пла'!H12</f>
        <v>2.0000000000000004</v>
      </c>
      <c r="E12" s="42">
        <f>'166 коэф. транспортной доступ'!H11</f>
        <v>0.82899999999999996</v>
      </c>
      <c r="F12" s="42">
        <f t="shared" si="0"/>
        <v>1.3260000000000001</v>
      </c>
      <c r="G12" s="42">
        <f>'161 удельный вес расходов'!D9</f>
        <v>0.13100000000000001</v>
      </c>
      <c r="H12" s="42">
        <f>'162  коэф. на удорож стои ЖКУ'!C11</f>
        <v>1</v>
      </c>
      <c r="I12" s="42">
        <f>'163 Коэф. дифферен-ии зар. пла'!H12</f>
        <v>2.0000000000000004</v>
      </c>
      <c r="J12" s="42">
        <f>'167 коэф урбанизации'!E11</f>
        <v>1</v>
      </c>
      <c r="K12" s="42">
        <f t="shared" si="1"/>
        <v>0.26200000000000001</v>
      </c>
      <c r="L12" s="42">
        <f>'161 удельный вес расходов'!F9</f>
        <v>0</v>
      </c>
      <c r="M12" s="42">
        <f>'162  коэф. на удорож стои ЖКУ'!C11</f>
        <v>1</v>
      </c>
      <c r="N12" s="42">
        <f t="shared" si="2"/>
        <v>0</v>
      </c>
      <c r="O12" s="42">
        <f>'161 удельный вес расходов'!H9</f>
        <v>6.2E-2</v>
      </c>
      <c r="P12" s="42">
        <f>'168 коэф. благоустройства'!H10</f>
        <v>1.2258219143652627</v>
      </c>
      <c r="Q12" s="42">
        <f t="shared" si="3"/>
        <v>7.5999999999999998E-2</v>
      </c>
      <c r="R12" s="42">
        <f>'161 удельный вес расходов'!J9</f>
        <v>0</v>
      </c>
      <c r="S12" s="42">
        <f>'169 структ жил фонда'!F13</f>
        <v>3.8639999999999999</v>
      </c>
      <c r="T12" s="42">
        <f t="shared" si="4"/>
        <v>0</v>
      </c>
      <c r="U12" s="42">
        <f>'161 удельный вес расходов'!L9</f>
        <v>7.0000000000000001E-3</v>
      </c>
      <c r="V12" s="42">
        <f>'170 .коэф. концентр населения'!D13</f>
        <v>1.206</v>
      </c>
      <c r="W12" s="42">
        <f>'167 коэф урбанизации'!E11</f>
        <v>1</v>
      </c>
      <c r="X12" s="42">
        <f t="shared" si="5"/>
        <v>8.0000000000000002E-3</v>
      </c>
      <c r="Y12" s="42">
        <f t="shared" si="6"/>
        <v>1.6719999999999999</v>
      </c>
    </row>
    <row r="13" spans="1:26" ht="24.75" customHeight="1" x14ac:dyDescent="0.25">
      <c r="A13" s="43" t="s">
        <v>17</v>
      </c>
      <c r="B13" s="42">
        <f>'161 удельный вес расходов'!B10</f>
        <v>0.45200000000000001</v>
      </c>
      <c r="C13" s="42">
        <f>'162  коэф. на удорож стои ЖКУ'!C12</f>
        <v>1</v>
      </c>
      <c r="D13" s="42">
        <f>'163 Коэф. дифферен-ии зар. пла'!H13</f>
        <v>1.1462496755774723</v>
      </c>
      <c r="E13" s="42">
        <f>'166 коэф. транспортной доступ'!H12</f>
        <v>2</v>
      </c>
      <c r="F13" s="42">
        <f t="shared" si="0"/>
        <v>1.036</v>
      </c>
      <c r="G13" s="42">
        <f>'161 удельный вес расходов'!D10</f>
        <v>0.28299999999999997</v>
      </c>
      <c r="H13" s="42">
        <f>'162  коэф. на удорож стои ЖКУ'!C12</f>
        <v>1</v>
      </c>
      <c r="I13" s="42">
        <f>'163 Коэф. дифферен-ии зар. пла'!H13</f>
        <v>1.1462496755774723</v>
      </c>
      <c r="J13" s="42">
        <f>'167 коэф урбанизации'!E12</f>
        <v>1</v>
      </c>
      <c r="K13" s="42">
        <f t="shared" si="1"/>
        <v>0.32400000000000001</v>
      </c>
      <c r="L13" s="42">
        <f>'161 удельный вес расходов'!F10</f>
        <v>2.9000000000000001E-2</v>
      </c>
      <c r="M13" s="42">
        <f>'162  коэф. на удорож стои ЖКУ'!C12</f>
        <v>1</v>
      </c>
      <c r="N13" s="42">
        <f t="shared" si="2"/>
        <v>2.9000000000000001E-2</v>
      </c>
      <c r="O13" s="42">
        <f>'161 удельный вес расходов'!H10</f>
        <v>0.14099999999999999</v>
      </c>
      <c r="P13" s="42">
        <f>'168 коэф. благоустройства'!H11</f>
        <v>0</v>
      </c>
      <c r="Q13" s="42">
        <f t="shared" si="3"/>
        <v>0</v>
      </c>
      <c r="R13" s="42">
        <f>'161 удельный вес расходов'!J10</f>
        <v>8.0000000000000002E-3</v>
      </c>
      <c r="S13" s="42">
        <f>'169 структ жил фонда'!F14</f>
        <v>0</v>
      </c>
      <c r="T13" s="42">
        <f t="shared" si="4"/>
        <v>0</v>
      </c>
      <c r="U13" s="42">
        <f>'161 удельный вес расходов'!L10</f>
        <v>8.7999999999999995E-2</v>
      </c>
      <c r="V13" s="42">
        <f>'170 .коэф. концентр населения'!D14</f>
        <v>1.0099922138593305</v>
      </c>
      <c r="W13" s="42">
        <f>'167 коэф урбанизации'!E12</f>
        <v>1</v>
      </c>
      <c r="X13" s="42">
        <f t="shared" si="5"/>
        <v>8.8999999999999996E-2</v>
      </c>
      <c r="Y13" s="42">
        <f t="shared" si="6"/>
        <v>1.478</v>
      </c>
      <c r="Z13" s="37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72" firstPageNumber="156" orientation="landscape" useFirstPageNumber="1" r:id="rId1"/>
  <headerFooter alignWithMargins="0">
    <oddHeader>&amp;C&amp;P</oddHeader>
  </headerFooter>
  <colBreaks count="1" manualBreakCount="1">
    <brk id="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="60" zoomScaleNormal="100" workbookViewId="0">
      <selection activeCell="F11" sqref="F11"/>
    </sheetView>
  </sheetViews>
  <sheetFormatPr defaultRowHeight="12.75" x14ac:dyDescent="0.2"/>
  <cols>
    <col min="1" max="1" width="20.140625" style="50" customWidth="1"/>
    <col min="2" max="2" width="15.7109375" style="50" customWidth="1"/>
    <col min="3" max="3" width="16.42578125" style="50" customWidth="1"/>
    <col min="4" max="4" width="16.7109375" style="50" customWidth="1"/>
    <col min="5" max="5" width="16" style="50" customWidth="1"/>
    <col min="6" max="6" width="19" style="50" customWidth="1"/>
    <col min="7" max="7" width="21.85546875" style="50" customWidth="1"/>
    <col min="8" max="8" width="13" style="50" customWidth="1"/>
    <col min="9" max="16384" width="9.140625" style="50"/>
  </cols>
  <sheetData>
    <row r="1" spans="1:8" ht="29.25" customHeight="1" x14ac:dyDescent="0.25">
      <c r="B1" s="193" t="s">
        <v>192</v>
      </c>
      <c r="C1" s="193"/>
      <c r="D1" s="193"/>
      <c r="E1" s="193"/>
      <c r="F1" s="193"/>
      <c r="G1" s="193"/>
    </row>
    <row r="2" spans="1:8" ht="24.75" customHeight="1" x14ac:dyDescent="0.2">
      <c r="A2" s="60" t="s">
        <v>106</v>
      </c>
    </row>
    <row r="3" spans="1:8" ht="124.5" customHeight="1" x14ac:dyDescent="0.2">
      <c r="A3" s="68" t="s">
        <v>1</v>
      </c>
      <c r="B3" s="68" t="s">
        <v>193</v>
      </c>
      <c r="C3" s="68" t="s">
        <v>103</v>
      </c>
      <c r="D3" s="68" t="s">
        <v>194</v>
      </c>
      <c r="E3" s="68" t="s">
        <v>104</v>
      </c>
      <c r="F3" s="68" t="s">
        <v>195</v>
      </c>
      <c r="G3" s="68" t="s">
        <v>105</v>
      </c>
      <c r="H3" s="68" t="s">
        <v>102</v>
      </c>
    </row>
    <row r="4" spans="1:8" ht="15.75" x14ac:dyDescent="0.2">
      <c r="A4" s="71">
        <v>1</v>
      </c>
      <c r="B4" s="71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</row>
    <row r="5" spans="1:8" ht="18" customHeight="1" x14ac:dyDescent="0.25">
      <c r="A5" s="41" t="s">
        <v>18</v>
      </c>
      <c r="B5" s="20">
        <v>270.10199999999998</v>
      </c>
      <c r="C5" s="20">
        <f>1+B5/B11</f>
        <v>1.387832961680779</v>
      </c>
      <c r="D5" s="20">
        <v>41</v>
      </c>
      <c r="E5" s="20">
        <f>1+D5/D11</f>
        <v>1.5426151402858657</v>
      </c>
      <c r="F5" s="20">
        <v>49.984000000000002</v>
      </c>
      <c r="G5" s="20">
        <f>1+F5/F11</f>
        <v>1.4970317704966938</v>
      </c>
      <c r="H5" s="20">
        <f>C5*E5*G5</f>
        <v>3.2049835491048051</v>
      </c>
    </row>
    <row r="6" spans="1:8" ht="18" customHeight="1" x14ac:dyDescent="0.25">
      <c r="A6" s="41" t="s">
        <v>19</v>
      </c>
      <c r="B6" s="20">
        <v>94.474999999999994</v>
      </c>
      <c r="C6" s="20">
        <f>1+B6/B11</f>
        <v>1.1356543789190439</v>
      </c>
      <c r="D6" s="20">
        <v>7.15</v>
      </c>
      <c r="E6" s="20">
        <f>1+D6/D11</f>
        <v>1.0946267866596082</v>
      </c>
      <c r="F6" s="20">
        <v>13.368</v>
      </c>
      <c r="G6" s="20">
        <f>1+F6/F11</f>
        <v>1.1329289514244518</v>
      </c>
      <c r="H6" s="20">
        <f t="shared" ref="H6:H10" si="0">C6*E6*G6</f>
        <v>1.4083640363824148</v>
      </c>
    </row>
    <row r="7" spans="1:8" ht="18" customHeight="1" x14ac:dyDescent="0.25">
      <c r="A7" s="41" t="s">
        <v>20</v>
      </c>
      <c r="B7" s="20">
        <v>189.07</v>
      </c>
      <c r="C7" s="20">
        <f>1+B7/B11</f>
        <v>1.2714810629502369</v>
      </c>
      <c r="D7" s="20">
        <v>12.8</v>
      </c>
      <c r="E7" s="20">
        <f>1+D7/D11</f>
        <v>1.169401799894124</v>
      </c>
      <c r="F7" s="20">
        <v>14.6</v>
      </c>
      <c r="G7" s="20">
        <f>1+F7/F11</f>
        <v>1.1451797345000745</v>
      </c>
      <c r="H7" s="20">
        <f t="shared" si="0"/>
        <v>1.7027359610987378</v>
      </c>
    </row>
    <row r="8" spans="1:8" ht="18" customHeight="1" x14ac:dyDescent="0.25">
      <c r="A8" s="41" t="s">
        <v>21</v>
      </c>
      <c r="B8" s="20">
        <v>71.799000000000007</v>
      </c>
      <c r="C8" s="20">
        <f>1+B8/B11</f>
        <v>1.1030944562266043</v>
      </c>
      <c r="D8" s="20">
        <v>2.31</v>
      </c>
      <c r="E8" s="20">
        <f>1+D8/D11</f>
        <v>1.0305717310746427</v>
      </c>
      <c r="F8" s="20">
        <v>9.7460000000000004</v>
      </c>
      <c r="G8" s="20">
        <f>1+F8/F11</f>
        <v>1.0969124446875156</v>
      </c>
      <c r="H8" s="20">
        <f t="shared" si="0"/>
        <v>1.2469897712796316</v>
      </c>
    </row>
    <row r="9" spans="1:8" ht="18" customHeight="1" x14ac:dyDescent="0.25">
      <c r="A9" s="41" t="s">
        <v>22</v>
      </c>
      <c r="B9" s="20">
        <v>29.792999999999999</v>
      </c>
      <c r="C9" s="20">
        <f>1+B9/B11</f>
        <v>1.0427790517188154</v>
      </c>
      <c r="D9" s="20">
        <v>6</v>
      </c>
      <c r="E9" s="20">
        <f>1+D9/D11</f>
        <v>1.0794070937003706</v>
      </c>
      <c r="F9" s="20">
        <v>6</v>
      </c>
      <c r="G9" s="20">
        <f>1+F9/F11</f>
        <v>1.0596629045890718</v>
      </c>
      <c r="H9" s="20">
        <f t="shared" si="0"/>
        <v>1.1927386630231689</v>
      </c>
    </row>
    <row r="10" spans="1:8" ht="18" customHeight="1" x14ac:dyDescent="0.25">
      <c r="A10" s="41" t="s">
        <v>23</v>
      </c>
      <c r="B10" s="20">
        <v>41.2</v>
      </c>
      <c r="C10" s="20">
        <f>1+B10/B11</f>
        <v>1.0591580885045209</v>
      </c>
      <c r="D10" s="20">
        <v>6.3</v>
      </c>
      <c r="E10" s="20">
        <f>1+D10/D11</f>
        <v>1.0833774483853891</v>
      </c>
      <c r="F10" s="20">
        <v>6.867</v>
      </c>
      <c r="G10" s="20">
        <f>1+F10/F11</f>
        <v>1.0682841943021926</v>
      </c>
      <c r="H10" s="20">
        <f t="shared" si="0"/>
        <v>1.2258219143652627</v>
      </c>
    </row>
    <row r="11" spans="1:8" ht="18" customHeight="1" x14ac:dyDescent="0.25">
      <c r="A11" s="72" t="s">
        <v>17</v>
      </c>
      <c r="B11" s="20">
        <f>SUM(B5:B10)</f>
        <v>696.43899999999996</v>
      </c>
      <c r="C11" s="20"/>
      <c r="D11" s="20">
        <f>SUM(D5:D10)</f>
        <v>75.56</v>
      </c>
      <c r="E11" s="20"/>
      <c r="F11" s="20">
        <f>SUM(F5:F10)</f>
        <v>100.565</v>
      </c>
      <c r="G11" s="20"/>
      <c r="H11" s="20"/>
    </row>
    <row r="12" spans="1:8" ht="15.75" x14ac:dyDescent="0.25">
      <c r="B12" s="36"/>
      <c r="C12" s="36"/>
      <c r="D12" s="36"/>
      <c r="E12" s="36"/>
      <c r="F12" s="36"/>
      <c r="G12" s="36"/>
      <c r="H12" s="36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168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opLeftCell="A2" zoomScaleNormal="100" workbookViewId="0">
      <selection activeCell="B8" sqref="B8:B13"/>
    </sheetView>
  </sheetViews>
  <sheetFormatPr defaultRowHeight="12.75" x14ac:dyDescent="0.2"/>
  <cols>
    <col min="1" max="1" width="19" style="50" customWidth="1"/>
    <col min="2" max="2" width="20.42578125" style="50" customWidth="1"/>
    <col min="3" max="4" width="22" style="50" customWidth="1"/>
    <col min="5" max="5" width="26.140625" style="50" customWidth="1"/>
    <col min="6" max="6" width="18.7109375" style="50" customWidth="1"/>
    <col min="7" max="16384" width="9.140625" style="50"/>
  </cols>
  <sheetData>
    <row r="1" spans="1:7" ht="15.75" x14ac:dyDescent="0.25">
      <c r="A1" s="183" t="s">
        <v>24</v>
      </c>
      <c r="B1" s="183"/>
      <c r="C1" s="183"/>
      <c r="D1" s="183"/>
      <c r="E1" s="183"/>
      <c r="F1" s="183"/>
      <c r="G1" s="36"/>
    </row>
    <row r="2" spans="1:7" ht="15.75" x14ac:dyDescent="0.25">
      <c r="A2" s="73"/>
      <c r="B2" s="73"/>
      <c r="C2" s="73"/>
      <c r="D2" s="73"/>
      <c r="E2" s="73"/>
      <c r="F2" s="73"/>
      <c r="G2" s="36"/>
    </row>
    <row r="3" spans="1:7" ht="15.75" x14ac:dyDescent="0.25">
      <c r="A3" s="184" t="s">
        <v>198</v>
      </c>
      <c r="B3" s="184"/>
      <c r="C3" s="184"/>
      <c r="D3" s="184"/>
      <c r="E3" s="184"/>
      <c r="F3" s="184"/>
      <c r="G3" s="36"/>
    </row>
    <row r="4" spans="1:7" ht="15.75" x14ac:dyDescent="0.25">
      <c r="A4" s="74" t="s">
        <v>107</v>
      </c>
      <c r="B4" s="74"/>
      <c r="C4" s="74"/>
      <c r="D4" s="74"/>
      <c r="E4" s="74"/>
      <c r="F4" s="74"/>
      <c r="G4" s="36"/>
    </row>
    <row r="5" spans="1:7" ht="15.75" x14ac:dyDescent="0.25">
      <c r="A5" s="185" t="s">
        <v>25</v>
      </c>
      <c r="B5" s="185" t="s">
        <v>196</v>
      </c>
      <c r="C5" s="185" t="s">
        <v>197</v>
      </c>
      <c r="D5" s="185" t="s">
        <v>29</v>
      </c>
      <c r="E5" s="185" t="s">
        <v>30</v>
      </c>
      <c r="F5" s="185" t="s">
        <v>108</v>
      </c>
      <c r="G5" s="36"/>
    </row>
    <row r="6" spans="1:7" ht="82.5" customHeight="1" x14ac:dyDescent="0.25">
      <c r="A6" s="185"/>
      <c r="B6" s="185"/>
      <c r="C6" s="185"/>
      <c r="D6" s="185"/>
      <c r="E6" s="185"/>
      <c r="F6" s="185"/>
      <c r="G6" s="36"/>
    </row>
    <row r="7" spans="1:7" ht="15.75" x14ac:dyDescent="0.25">
      <c r="A7" s="51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36"/>
    </row>
    <row r="8" spans="1:7" ht="18" customHeight="1" x14ac:dyDescent="0.25">
      <c r="A8" s="41" t="s">
        <v>18</v>
      </c>
      <c r="B8" s="95">
        <v>6642</v>
      </c>
      <c r="C8" s="90">
        <v>7244.2</v>
      </c>
      <c r="D8" s="91">
        <v>1.087</v>
      </c>
      <c r="E8" s="91"/>
      <c r="F8" s="92">
        <f>ROUND(D8/E14,3)</f>
        <v>0.497</v>
      </c>
      <c r="G8" s="36"/>
    </row>
    <row r="9" spans="1:7" ht="18" customHeight="1" x14ac:dyDescent="0.25">
      <c r="A9" s="41" t="s">
        <v>19</v>
      </c>
      <c r="B9" s="95">
        <v>365</v>
      </c>
      <c r="C9" s="90">
        <v>915</v>
      </c>
      <c r="D9" s="91">
        <f t="shared" ref="D9:D10" si="0">C9/B9</f>
        <v>2.506849315068493</v>
      </c>
      <c r="E9" s="91"/>
      <c r="F9" s="92">
        <f>ROUND(D9/E14,3)</f>
        <v>1.1459999999999999</v>
      </c>
      <c r="G9" s="36"/>
    </row>
    <row r="10" spans="1:7" ht="18" customHeight="1" x14ac:dyDescent="0.25">
      <c r="A10" s="41" t="s">
        <v>20</v>
      </c>
      <c r="B10" s="95">
        <v>372</v>
      </c>
      <c r="C10" s="90">
        <v>3311.8</v>
      </c>
      <c r="D10" s="91">
        <f t="shared" si="0"/>
        <v>8.9026881720430104</v>
      </c>
      <c r="E10" s="91"/>
      <c r="F10" s="92">
        <f>ROUND(D10/E14,)</f>
        <v>4</v>
      </c>
      <c r="G10" s="36"/>
    </row>
    <row r="11" spans="1:7" ht="18" customHeight="1" x14ac:dyDescent="0.25">
      <c r="A11" s="41" t="s">
        <v>21</v>
      </c>
      <c r="B11" s="95">
        <v>152</v>
      </c>
      <c r="C11" s="90">
        <v>898</v>
      </c>
      <c r="D11" s="91">
        <v>5.72</v>
      </c>
      <c r="E11" s="91"/>
      <c r="F11" s="92">
        <f>ROUND(D11/E14,3)</f>
        <v>2.6150000000000002</v>
      </c>
      <c r="G11" s="36"/>
    </row>
    <row r="12" spans="1:7" ht="18" customHeight="1" x14ac:dyDescent="0.25">
      <c r="A12" s="41" t="s">
        <v>22</v>
      </c>
      <c r="B12" s="95">
        <v>107</v>
      </c>
      <c r="C12" s="90">
        <v>3885.7</v>
      </c>
      <c r="D12" s="91">
        <v>35.649000000000001</v>
      </c>
      <c r="E12" s="91"/>
      <c r="F12" s="92">
        <f>ROUND(D12/E14,3)</f>
        <v>16.3</v>
      </c>
      <c r="G12" s="36"/>
    </row>
    <row r="13" spans="1:7" ht="18" customHeight="1" x14ac:dyDescent="0.25">
      <c r="A13" s="41" t="s">
        <v>23</v>
      </c>
      <c r="B13" s="95">
        <v>68</v>
      </c>
      <c r="C13" s="90">
        <v>600</v>
      </c>
      <c r="D13" s="91">
        <v>8.4510000000000005</v>
      </c>
      <c r="E13" s="91"/>
      <c r="F13" s="92">
        <f>ROUND(D13/E14,3)</f>
        <v>3.8639999999999999</v>
      </c>
      <c r="G13" s="36"/>
    </row>
    <row r="14" spans="1:7" ht="15.75" x14ac:dyDescent="0.25">
      <c r="A14" s="55" t="s">
        <v>17</v>
      </c>
      <c r="B14" s="56">
        <f>B8+B9+B10+B11+B12+B13</f>
        <v>7706</v>
      </c>
      <c r="C14" s="93">
        <f>C8+C9+C10+C11+C12+C13</f>
        <v>16854.7</v>
      </c>
      <c r="D14" s="94">
        <f>C14/B14</f>
        <v>2.187217752400727</v>
      </c>
      <c r="E14" s="94">
        <f>ROUND(C14/B14,3)</f>
        <v>2.1869999999999998</v>
      </c>
      <c r="F14" s="94"/>
      <c r="G14" s="36"/>
    </row>
    <row r="15" spans="1:7" ht="15.75" x14ac:dyDescent="0.25">
      <c r="A15" s="36"/>
      <c r="B15" s="36"/>
      <c r="C15" s="36"/>
      <c r="D15" s="36"/>
      <c r="E15" s="36"/>
      <c r="F15" s="36"/>
      <c r="G15" s="36"/>
    </row>
    <row r="16" spans="1:7" ht="15.75" x14ac:dyDescent="0.25">
      <c r="A16" s="36" t="s">
        <v>109</v>
      </c>
      <c r="B16" s="36"/>
      <c r="C16" s="36"/>
      <c r="D16" s="36"/>
      <c r="E16" s="36"/>
      <c r="F16" s="36"/>
      <c r="G16" s="36"/>
    </row>
    <row r="17" spans="1:7" ht="15.75" x14ac:dyDescent="0.25">
      <c r="A17" s="36"/>
      <c r="B17" s="36"/>
      <c r="C17" s="36"/>
      <c r="D17" s="36"/>
      <c r="E17" s="36"/>
      <c r="F17" s="36"/>
      <c r="G17" s="36"/>
    </row>
    <row r="18" spans="1:7" ht="15.75" x14ac:dyDescent="0.25">
      <c r="A18" s="36" t="s">
        <v>41</v>
      </c>
      <c r="B18" s="36"/>
      <c r="C18" s="36"/>
      <c r="D18" s="36"/>
      <c r="E18" s="36"/>
      <c r="F18" s="36"/>
      <c r="G18" s="36"/>
    </row>
    <row r="19" spans="1:7" ht="15.75" x14ac:dyDescent="0.25">
      <c r="A19" s="36" t="s">
        <v>42</v>
      </c>
      <c r="B19" s="36"/>
      <c r="C19" s="36"/>
      <c r="D19" s="36"/>
      <c r="E19" s="36"/>
      <c r="F19" s="36"/>
      <c r="G19" s="36"/>
    </row>
    <row r="20" spans="1:7" ht="15.75" x14ac:dyDescent="0.25">
      <c r="A20" s="36"/>
      <c r="B20" s="36"/>
      <c r="C20" s="36"/>
      <c r="D20" s="36"/>
      <c r="E20" s="36"/>
      <c r="F20" s="36"/>
      <c r="G20" s="36"/>
    </row>
  </sheetData>
  <mergeCells count="8">
    <mergeCell ref="A1:F1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169" orientation="landscape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C9" sqref="C9"/>
    </sheetView>
  </sheetViews>
  <sheetFormatPr defaultRowHeight="12.75" x14ac:dyDescent="0.2"/>
  <cols>
    <col min="1" max="1" width="19.42578125" style="50" customWidth="1"/>
    <col min="2" max="2" width="16.140625" style="50" customWidth="1"/>
    <col min="3" max="3" width="24" style="50" customWidth="1"/>
    <col min="4" max="4" width="25.28515625" style="50" customWidth="1"/>
    <col min="5" max="16384" width="9.140625" style="50"/>
  </cols>
  <sheetData>
    <row r="1" spans="1:6" ht="15.75" x14ac:dyDescent="0.25">
      <c r="A1" s="36"/>
      <c r="B1" s="36"/>
      <c r="C1" s="167" t="s">
        <v>0</v>
      </c>
      <c r="D1" s="167"/>
      <c r="E1" s="36"/>
      <c r="F1" s="36"/>
    </row>
    <row r="2" spans="1:6" ht="15.75" x14ac:dyDescent="0.25">
      <c r="A2" s="167" t="s">
        <v>27</v>
      </c>
      <c r="B2" s="167"/>
      <c r="C2" s="167"/>
      <c r="D2" s="167"/>
      <c r="E2" s="167"/>
      <c r="F2" s="167"/>
    </row>
    <row r="3" spans="1:6" ht="15.75" x14ac:dyDescent="0.25">
      <c r="A3" s="167" t="s">
        <v>201</v>
      </c>
      <c r="B3" s="167"/>
      <c r="C3" s="167"/>
      <c r="D3" s="167"/>
      <c r="E3" s="167"/>
      <c r="F3" s="167"/>
    </row>
    <row r="4" spans="1:6" ht="15.75" x14ac:dyDescent="0.25">
      <c r="A4" s="36"/>
      <c r="B4" s="36"/>
      <c r="C4" s="36"/>
      <c r="D4" s="36"/>
      <c r="E4" s="36"/>
      <c r="F4" s="36"/>
    </row>
    <row r="5" spans="1:6" ht="15.75" x14ac:dyDescent="0.25">
      <c r="A5" s="36" t="s">
        <v>111</v>
      </c>
      <c r="B5" s="36"/>
      <c r="C5" s="36"/>
      <c r="D5" s="36"/>
      <c r="E5" s="36"/>
      <c r="F5" s="36"/>
    </row>
    <row r="6" spans="1:6" ht="109.5" customHeight="1" x14ac:dyDescent="0.25">
      <c r="A6" s="68" t="s">
        <v>1</v>
      </c>
      <c r="B6" s="68" t="s">
        <v>199</v>
      </c>
      <c r="C6" s="68" t="s">
        <v>200</v>
      </c>
      <c r="D6" s="68" t="s">
        <v>110</v>
      </c>
      <c r="E6" s="36"/>
      <c r="F6" s="36"/>
    </row>
    <row r="7" spans="1:6" ht="15.75" x14ac:dyDescent="0.25">
      <c r="A7" s="52">
        <v>1</v>
      </c>
      <c r="B7" s="52">
        <v>2</v>
      </c>
      <c r="C7" s="52">
        <v>3</v>
      </c>
      <c r="D7" s="52">
        <v>4</v>
      </c>
      <c r="E7" s="36"/>
      <c r="F7" s="36"/>
    </row>
    <row r="8" spans="1:6" ht="19.5" customHeight="1" x14ac:dyDescent="0.25">
      <c r="A8" s="41" t="s">
        <v>18</v>
      </c>
      <c r="B8" s="95">
        <v>6642</v>
      </c>
      <c r="C8" s="52">
        <v>6579</v>
      </c>
      <c r="D8" s="53">
        <f>1+ROUND((B8-C8)/B8,3)</f>
        <v>1.0089999999999999</v>
      </c>
      <c r="E8" s="36"/>
      <c r="F8" s="36"/>
    </row>
    <row r="9" spans="1:6" ht="19.5" customHeight="1" x14ac:dyDescent="0.25">
      <c r="A9" s="41" t="s">
        <v>19</v>
      </c>
      <c r="B9" s="95">
        <v>365</v>
      </c>
      <c r="C9" s="95">
        <v>365</v>
      </c>
      <c r="D9" s="53">
        <f t="shared" ref="D9:D14" si="0">1+(B9-C9)/B9</f>
        <v>1</v>
      </c>
      <c r="E9" s="36"/>
      <c r="F9" s="36"/>
    </row>
    <row r="10" spans="1:6" ht="19.5" customHeight="1" x14ac:dyDescent="0.25">
      <c r="A10" s="41" t="s">
        <v>20</v>
      </c>
      <c r="B10" s="95">
        <v>372</v>
      </c>
      <c r="C10" s="95">
        <v>372</v>
      </c>
      <c r="D10" s="53">
        <f t="shared" si="0"/>
        <v>1</v>
      </c>
      <c r="E10" s="36"/>
      <c r="F10" s="36"/>
    </row>
    <row r="11" spans="1:6" ht="19.5" customHeight="1" x14ac:dyDescent="0.25">
      <c r="A11" s="41" t="s">
        <v>21</v>
      </c>
      <c r="B11" s="95">
        <v>152</v>
      </c>
      <c r="C11" s="95">
        <v>152</v>
      </c>
      <c r="D11" s="53">
        <f t="shared" si="0"/>
        <v>1</v>
      </c>
      <c r="E11" s="36"/>
      <c r="F11" s="36"/>
    </row>
    <row r="12" spans="1:6" ht="19.5" customHeight="1" x14ac:dyDescent="0.25">
      <c r="A12" s="41" t="s">
        <v>22</v>
      </c>
      <c r="B12" s="95">
        <v>107</v>
      </c>
      <c r="C12" s="95">
        <v>107</v>
      </c>
      <c r="D12" s="53">
        <f t="shared" si="0"/>
        <v>1</v>
      </c>
      <c r="E12" s="36"/>
      <c r="F12" s="36"/>
    </row>
    <row r="13" spans="1:6" ht="19.5" customHeight="1" x14ac:dyDescent="0.25">
      <c r="A13" s="41" t="s">
        <v>23</v>
      </c>
      <c r="B13" s="95">
        <v>68</v>
      </c>
      <c r="C13" s="52">
        <v>54</v>
      </c>
      <c r="D13" s="53">
        <f>1+ROUND((B13-C13)/B13,3)</f>
        <v>1.206</v>
      </c>
      <c r="E13" s="36"/>
      <c r="F13" s="36"/>
    </row>
    <row r="14" spans="1:6" ht="15.75" x14ac:dyDescent="0.25">
      <c r="A14" s="75" t="s">
        <v>17</v>
      </c>
      <c r="B14" s="52">
        <f>B10+B11+B12+B13+B8+B9</f>
        <v>7706</v>
      </c>
      <c r="C14" s="52">
        <f>C10+C11+C12+C13+C8+C9</f>
        <v>7629</v>
      </c>
      <c r="D14" s="53">
        <f t="shared" si="0"/>
        <v>1.0099922138593305</v>
      </c>
      <c r="E14" s="36"/>
      <c r="F14" s="36"/>
    </row>
    <row r="15" spans="1:6" ht="15.75" x14ac:dyDescent="0.25">
      <c r="A15" s="36"/>
      <c r="B15" s="36"/>
      <c r="C15" s="36"/>
      <c r="D15" s="36"/>
      <c r="E15" s="36"/>
      <c r="F15" s="36"/>
    </row>
  </sheetData>
  <mergeCells count="3">
    <mergeCell ref="C1:D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firstPageNumber="170" orientation="portrait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0"/>
  <sheetViews>
    <sheetView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39.28515625" customWidth="1"/>
    <col min="2" max="2" width="6.42578125" customWidth="1"/>
    <col min="3" max="3" width="11" customWidth="1"/>
    <col min="4" max="4" width="11.28515625" customWidth="1"/>
    <col min="5" max="5" width="12.28515625" customWidth="1"/>
    <col min="6" max="6" width="13.28515625" customWidth="1"/>
    <col min="7" max="7" width="10.140625" customWidth="1"/>
  </cols>
  <sheetData>
    <row r="3" spans="1:7" ht="60" x14ac:dyDescent="0.2">
      <c r="A3" s="24" t="s">
        <v>122</v>
      </c>
      <c r="B3" s="25" t="s">
        <v>123</v>
      </c>
      <c r="C3" s="25" t="s">
        <v>156</v>
      </c>
      <c r="D3" s="25" t="s">
        <v>157</v>
      </c>
      <c r="E3" s="25" t="s">
        <v>158</v>
      </c>
      <c r="F3" s="26" t="s">
        <v>159</v>
      </c>
      <c r="G3" s="25" t="s">
        <v>160</v>
      </c>
    </row>
    <row r="4" spans="1:7" x14ac:dyDescent="0.2">
      <c r="A4" s="27" t="s">
        <v>124</v>
      </c>
      <c r="B4" s="28"/>
      <c r="C4" s="29">
        <f>SUM(C5,C16,C36,C52,C67,C78)</f>
        <v>89157366</v>
      </c>
      <c r="D4" s="29">
        <f>SUM(D5,D16,D36,D52,D67,D78)</f>
        <v>318618</v>
      </c>
      <c r="E4" s="29">
        <f>SUM(E5,E16,E36,E52,E67,E78)</f>
        <v>534000</v>
      </c>
      <c r="F4" s="29">
        <f>SUM(F5,F16,F36,F52,F67,F78)</f>
        <v>90009984</v>
      </c>
      <c r="G4" s="29">
        <f>SUM(G5,G16,G36,G52,G67,G78)</f>
        <v>5323000</v>
      </c>
    </row>
    <row r="5" spans="1:7" x14ac:dyDescent="0.2">
      <c r="A5" s="30" t="s">
        <v>125</v>
      </c>
      <c r="B5" s="31"/>
      <c r="C5" s="32">
        <f>SUM(C6:C15)</f>
        <v>5379122</v>
      </c>
      <c r="D5" s="32">
        <f>SUM(D6:D15)</f>
        <v>22957</v>
      </c>
      <c r="E5" s="32">
        <f>SUM(E6:E15)</f>
        <v>36000</v>
      </c>
      <c r="F5" s="32">
        <f>SUM(F6:F15)</f>
        <v>5438079</v>
      </c>
      <c r="G5" s="32">
        <f>SUM(G6:G15)</f>
        <v>365000</v>
      </c>
    </row>
    <row r="6" spans="1:7" ht="38.25" x14ac:dyDescent="0.2">
      <c r="A6" s="33" t="s">
        <v>126</v>
      </c>
      <c r="B6" s="34" t="s">
        <v>60</v>
      </c>
      <c r="C6" s="35">
        <v>867422</v>
      </c>
      <c r="D6" s="35"/>
      <c r="E6" s="35"/>
      <c r="F6" s="35">
        <f t="shared" ref="F6:F15" si="0">SUM(D6:E6,C6)</f>
        <v>867422</v>
      </c>
      <c r="G6" s="35"/>
    </row>
    <row r="7" spans="1:7" ht="63.75" x14ac:dyDescent="0.2">
      <c r="A7" s="33" t="s">
        <v>127</v>
      </c>
      <c r="B7" s="34" t="s">
        <v>62</v>
      </c>
      <c r="C7" s="35">
        <v>3270759</v>
      </c>
      <c r="D7" s="35">
        <v>10982</v>
      </c>
      <c r="E7" s="35"/>
      <c r="F7" s="35">
        <f t="shared" si="0"/>
        <v>3281741</v>
      </c>
      <c r="G7" s="35"/>
    </row>
    <row r="8" spans="1:7" ht="51" x14ac:dyDescent="0.2">
      <c r="A8" s="33" t="s">
        <v>128</v>
      </c>
      <c r="B8" s="34" t="s">
        <v>63</v>
      </c>
      <c r="C8" s="35">
        <v>60400</v>
      </c>
      <c r="D8" s="35"/>
      <c r="E8" s="35"/>
      <c r="F8" s="35">
        <f t="shared" si="0"/>
        <v>60400</v>
      </c>
      <c r="G8" s="35"/>
    </row>
    <row r="9" spans="1:7" x14ac:dyDescent="0.2">
      <c r="A9" s="33" t="s">
        <v>129</v>
      </c>
      <c r="B9" s="34" t="s">
        <v>67</v>
      </c>
      <c r="C9" s="35">
        <v>25000</v>
      </c>
      <c r="D9" s="35"/>
      <c r="E9" s="35"/>
      <c r="F9" s="35">
        <f t="shared" si="0"/>
        <v>25000</v>
      </c>
      <c r="G9" s="35"/>
    </row>
    <row r="10" spans="1:7" x14ac:dyDescent="0.2">
      <c r="A10" s="33" t="s">
        <v>130</v>
      </c>
      <c r="B10" s="34" t="s">
        <v>68</v>
      </c>
      <c r="C10" s="35">
        <v>6000</v>
      </c>
      <c r="D10" s="35"/>
      <c r="E10" s="35"/>
      <c r="F10" s="35">
        <f t="shared" si="0"/>
        <v>6000</v>
      </c>
      <c r="G10" s="35"/>
    </row>
    <row r="11" spans="1:7" x14ac:dyDescent="0.2">
      <c r="A11" s="33" t="s">
        <v>132</v>
      </c>
      <c r="B11" s="34" t="s">
        <v>51</v>
      </c>
      <c r="C11" s="35">
        <v>329000</v>
      </c>
      <c r="D11" s="35"/>
      <c r="E11" s="35">
        <f>G11-C11</f>
        <v>36000</v>
      </c>
      <c r="F11" s="35">
        <f t="shared" si="0"/>
        <v>365000</v>
      </c>
      <c r="G11" s="35">
        <v>365000</v>
      </c>
    </row>
    <row r="12" spans="1:7" x14ac:dyDescent="0.2">
      <c r="A12" s="33" t="s">
        <v>133</v>
      </c>
      <c r="B12" s="34" t="s">
        <v>52</v>
      </c>
      <c r="C12" s="35">
        <v>57325</v>
      </c>
      <c r="D12" s="35">
        <v>2095</v>
      </c>
      <c r="E12" s="35"/>
      <c r="F12" s="35">
        <f t="shared" si="0"/>
        <v>59420</v>
      </c>
      <c r="G12" s="35"/>
    </row>
    <row r="13" spans="1:7" x14ac:dyDescent="0.2">
      <c r="A13" s="33" t="s">
        <v>134</v>
      </c>
      <c r="B13" s="34" t="s">
        <v>152</v>
      </c>
      <c r="C13" s="35">
        <v>712216</v>
      </c>
      <c r="D13" s="35">
        <v>9880</v>
      </c>
      <c r="E13" s="35"/>
      <c r="F13" s="35">
        <f t="shared" si="0"/>
        <v>722096</v>
      </c>
      <c r="G13" s="35"/>
    </row>
    <row r="14" spans="1:7" x14ac:dyDescent="0.2">
      <c r="A14" s="33" t="s">
        <v>135</v>
      </c>
      <c r="B14" s="34" t="s">
        <v>70</v>
      </c>
      <c r="C14" s="35">
        <v>38000</v>
      </c>
      <c r="D14" s="35"/>
      <c r="E14" s="35"/>
      <c r="F14" s="35">
        <f t="shared" si="0"/>
        <v>38000</v>
      </c>
      <c r="G14" s="35"/>
    </row>
    <row r="15" spans="1:7" x14ac:dyDescent="0.2">
      <c r="A15" s="33" t="s">
        <v>136</v>
      </c>
      <c r="B15" s="34" t="s">
        <v>64</v>
      </c>
      <c r="C15" s="35">
        <v>13000</v>
      </c>
      <c r="D15" s="35"/>
      <c r="E15" s="35"/>
      <c r="F15" s="35">
        <f t="shared" si="0"/>
        <v>13000</v>
      </c>
      <c r="G15" s="35"/>
    </row>
    <row r="16" spans="1:7" ht="25.5" x14ac:dyDescent="0.2">
      <c r="A16" s="30" t="s">
        <v>137</v>
      </c>
      <c r="B16" s="31"/>
      <c r="C16" s="32">
        <f>SUM(C17:C35)</f>
        <v>57321683</v>
      </c>
      <c r="D16" s="32">
        <f t="shared" ref="D16:G16" si="1">SUM(D17:D35)</f>
        <v>193614</v>
      </c>
      <c r="E16" s="32">
        <f t="shared" si="1"/>
        <v>266000</v>
      </c>
      <c r="F16" s="32">
        <f t="shared" si="1"/>
        <v>57781297</v>
      </c>
      <c r="G16" s="32">
        <f t="shared" si="1"/>
        <v>2643000</v>
      </c>
    </row>
    <row r="17" spans="1:7" ht="38.25" x14ac:dyDescent="0.2">
      <c r="A17" s="33" t="s">
        <v>126</v>
      </c>
      <c r="B17" s="34" t="s">
        <v>60</v>
      </c>
      <c r="C17" s="35">
        <v>1688901</v>
      </c>
      <c r="D17" s="35"/>
      <c r="E17" s="35"/>
      <c r="F17" s="35">
        <f t="shared" ref="F17:F35" si="2">SUM(D17:E17,C17)</f>
        <v>1688901</v>
      </c>
      <c r="G17" s="35"/>
    </row>
    <row r="18" spans="1:7" ht="51" x14ac:dyDescent="0.2">
      <c r="A18" s="33" t="s">
        <v>138</v>
      </c>
      <c r="B18" s="34" t="s">
        <v>61</v>
      </c>
      <c r="C18" s="35">
        <v>798600</v>
      </c>
      <c r="D18" s="35"/>
      <c r="E18" s="35"/>
      <c r="F18" s="35">
        <f t="shared" si="2"/>
        <v>798600</v>
      </c>
      <c r="G18" s="35"/>
    </row>
    <row r="19" spans="1:7" ht="63.75" x14ac:dyDescent="0.2">
      <c r="A19" s="33" t="s">
        <v>127</v>
      </c>
      <c r="B19" s="34" t="s">
        <v>62</v>
      </c>
      <c r="C19" s="35">
        <v>14889344</v>
      </c>
      <c r="D19" s="35">
        <v>34364</v>
      </c>
      <c r="E19" s="35"/>
      <c r="F19" s="35">
        <f t="shared" si="2"/>
        <v>14923708</v>
      </c>
      <c r="G19" s="35"/>
    </row>
    <row r="20" spans="1:7" ht="51" x14ac:dyDescent="0.2">
      <c r="A20" s="33" t="s">
        <v>128</v>
      </c>
      <c r="B20" s="34" t="s">
        <v>63</v>
      </c>
      <c r="C20" s="35">
        <v>716000</v>
      </c>
      <c r="D20" s="35"/>
      <c r="E20" s="35"/>
      <c r="F20" s="35">
        <f t="shared" si="2"/>
        <v>716000</v>
      </c>
      <c r="G20" s="35"/>
    </row>
    <row r="21" spans="1:7" ht="25.5" x14ac:dyDescent="0.2">
      <c r="A21" s="33" t="s">
        <v>139</v>
      </c>
      <c r="B21" s="34" t="s">
        <v>120</v>
      </c>
      <c r="C21" s="35">
        <v>120000</v>
      </c>
      <c r="D21" s="35"/>
      <c r="E21" s="35"/>
      <c r="F21" s="35">
        <f t="shared" si="2"/>
        <v>120000</v>
      </c>
      <c r="G21" s="35"/>
    </row>
    <row r="22" spans="1:7" x14ac:dyDescent="0.2">
      <c r="A22" s="33" t="s">
        <v>129</v>
      </c>
      <c r="B22" s="34" t="s">
        <v>67</v>
      </c>
      <c r="C22" s="35">
        <v>600000</v>
      </c>
      <c r="D22" s="35"/>
      <c r="E22" s="35"/>
      <c r="F22" s="35">
        <f t="shared" si="2"/>
        <v>600000</v>
      </c>
      <c r="G22" s="35"/>
    </row>
    <row r="23" spans="1:7" x14ac:dyDescent="0.2">
      <c r="A23" s="33" t="s">
        <v>130</v>
      </c>
      <c r="B23" s="34" t="s">
        <v>68</v>
      </c>
      <c r="C23" s="35">
        <v>3918053</v>
      </c>
      <c r="D23" s="35">
        <v>5769</v>
      </c>
      <c r="E23" s="35"/>
      <c r="F23" s="35">
        <f t="shared" si="2"/>
        <v>3923822</v>
      </c>
      <c r="G23" s="35"/>
    </row>
    <row r="24" spans="1:7" x14ac:dyDescent="0.2">
      <c r="A24" s="33" t="s">
        <v>140</v>
      </c>
      <c r="B24" s="34" t="s">
        <v>71</v>
      </c>
      <c r="C24" s="35">
        <v>270000</v>
      </c>
      <c r="D24" s="35"/>
      <c r="E24" s="35"/>
      <c r="F24" s="35">
        <f t="shared" si="2"/>
        <v>270000</v>
      </c>
      <c r="G24" s="35"/>
    </row>
    <row r="25" spans="1:7" x14ac:dyDescent="0.2">
      <c r="A25" s="33" t="s">
        <v>131</v>
      </c>
      <c r="B25" s="34" t="s">
        <v>51</v>
      </c>
      <c r="C25" s="35">
        <v>3485000</v>
      </c>
      <c r="D25" s="35"/>
      <c r="E25" s="35"/>
      <c r="F25" s="35">
        <f t="shared" si="2"/>
        <v>3485000</v>
      </c>
      <c r="G25" s="35"/>
    </row>
    <row r="26" spans="1:7" x14ac:dyDescent="0.2">
      <c r="A26" s="33" t="s">
        <v>132</v>
      </c>
      <c r="B26" s="34" t="s">
        <v>51</v>
      </c>
      <c r="C26" s="35">
        <v>2377000</v>
      </c>
      <c r="D26" s="35"/>
      <c r="E26" s="35">
        <f>G26-C26</f>
        <v>266000</v>
      </c>
      <c r="F26" s="35">
        <f t="shared" si="2"/>
        <v>2643000</v>
      </c>
      <c r="G26" s="35">
        <v>2643000</v>
      </c>
    </row>
    <row r="27" spans="1:7" ht="25.5" x14ac:dyDescent="0.2">
      <c r="A27" s="33" t="s">
        <v>141</v>
      </c>
      <c r="B27" s="34" t="s">
        <v>69</v>
      </c>
      <c r="C27" s="35">
        <v>50000</v>
      </c>
      <c r="D27" s="35"/>
      <c r="E27" s="35"/>
      <c r="F27" s="35">
        <f t="shared" si="2"/>
        <v>50000</v>
      </c>
      <c r="G27" s="35"/>
    </row>
    <row r="28" spans="1:7" x14ac:dyDescent="0.2">
      <c r="A28" s="33" t="s">
        <v>142</v>
      </c>
      <c r="B28" s="34" t="s">
        <v>66</v>
      </c>
      <c r="C28" s="35">
        <v>716000</v>
      </c>
      <c r="D28" s="35"/>
      <c r="E28" s="35"/>
      <c r="F28" s="35">
        <f t="shared" si="2"/>
        <v>716000</v>
      </c>
      <c r="G28" s="35"/>
    </row>
    <row r="29" spans="1:7" x14ac:dyDescent="0.2">
      <c r="A29" s="33" t="s">
        <v>143</v>
      </c>
      <c r="B29" s="34" t="s">
        <v>65</v>
      </c>
      <c r="C29" s="35">
        <v>1060000</v>
      </c>
      <c r="D29" s="35"/>
      <c r="E29" s="35"/>
      <c r="F29" s="35">
        <f t="shared" si="2"/>
        <v>1060000</v>
      </c>
      <c r="G29" s="35"/>
    </row>
    <row r="30" spans="1:7" x14ac:dyDescent="0.2">
      <c r="A30" s="33" t="s">
        <v>133</v>
      </c>
      <c r="B30" s="34" t="s">
        <v>52</v>
      </c>
      <c r="C30" s="35">
        <v>4681497</v>
      </c>
      <c r="D30" s="35">
        <v>56003</v>
      </c>
      <c r="E30" s="35"/>
      <c r="F30" s="35">
        <f t="shared" si="2"/>
        <v>4737500</v>
      </c>
      <c r="G30" s="35"/>
    </row>
    <row r="31" spans="1:7" x14ac:dyDescent="0.2">
      <c r="A31" s="33" t="s">
        <v>134</v>
      </c>
      <c r="B31" s="34" t="s">
        <v>152</v>
      </c>
      <c r="C31" s="35">
        <v>15766941</v>
      </c>
      <c r="D31" s="35">
        <v>82085</v>
      </c>
      <c r="E31" s="35"/>
      <c r="F31" s="35">
        <f t="shared" si="2"/>
        <v>15849026</v>
      </c>
      <c r="G31" s="35"/>
    </row>
    <row r="32" spans="1:7" x14ac:dyDescent="0.2">
      <c r="A32" s="33" t="s">
        <v>135</v>
      </c>
      <c r="B32" s="34" t="s">
        <v>70</v>
      </c>
      <c r="C32" s="35">
        <v>680000</v>
      </c>
      <c r="D32" s="35"/>
      <c r="E32" s="35"/>
      <c r="F32" s="35">
        <f t="shared" si="2"/>
        <v>680000</v>
      </c>
      <c r="G32" s="35"/>
    </row>
    <row r="33" spans="1:7" x14ac:dyDescent="0.2">
      <c r="A33" s="33" t="s">
        <v>136</v>
      </c>
      <c r="B33" s="34" t="s">
        <v>64</v>
      </c>
      <c r="C33" s="35">
        <v>4524347</v>
      </c>
      <c r="D33" s="35">
        <v>15393</v>
      </c>
      <c r="E33" s="35"/>
      <c r="F33" s="35">
        <f t="shared" si="2"/>
        <v>4539740</v>
      </c>
      <c r="G33" s="35"/>
    </row>
    <row r="34" spans="1:7" x14ac:dyDescent="0.2">
      <c r="A34" s="33" t="s">
        <v>144</v>
      </c>
      <c r="B34" s="34" t="s">
        <v>153</v>
      </c>
      <c r="C34" s="35">
        <v>480000</v>
      </c>
      <c r="D34" s="35"/>
      <c r="E34" s="35"/>
      <c r="F34" s="35">
        <f t="shared" si="2"/>
        <v>480000</v>
      </c>
      <c r="G34" s="35"/>
    </row>
    <row r="35" spans="1:7" x14ac:dyDescent="0.2">
      <c r="A35" s="33" t="s">
        <v>145</v>
      </c>
      <c r="B35" s="34" t="s">
        <v>154</v>
      </c>
      <c r="C35" s="35">
        <v>500000</v>
      </c>
      <c r="D35" s="35"/>
      <c r="E35" s="35"/>
      <c r="F35" s="35">
        <f t="shared" si="2"/>
        <v>500000</v>
      </c>
      <c r="G35" s="35"/>
    </row>
    <row r="36" spans="1:7" ht="25.5" x14ac:dyDescent="0.2">
      <c r="A36" s="30" t="s">
        <v>146</v>
      </c>
      <c r="B36" s="31"/>
      <c r="C36" s="32">
        <f>SUM(C37:C51)</f>
        <v>7713457</v>
      </c>
      <c r="D36" s="32">
        <f>SUM(D37:D51)</f>
        <v>17419</v>
      </c>
      <c r="E36" s="32">
        <f>SUM(E37:E51)</f>
        <v>70000</v>
      </c>
      <c r="F36" s="32">
        <f>SUM(F37:F51)</f>
        <v>7800876</v>
      </c>
      <c r="G36" s="32">
        <f>SUM(G37:G51)</f>
        <v>709000</v>
      </c>
    </row>
    <row r="37" spans="1:7" ht="38.25" x14ac:dyDescent="0.2">
      <c r="A37" s="33" t="s">
        <v>126</v>
      </c>
      <c r="B37" s="34" t="s">
        <v>60</v>
      </c>
      <c r="C37" s="35">
        <v>819960</v>
      </c>
      <c r="D37" s="35"/>
      <c r="E37" s="35"/>
      <c r="F37" s="35">
        <f t="shared" ref="F37:F51" si="3">SUM(D37:E37,C37)</f>
        <v>819960</v>
      </c>
      <c r="G37" s="35"/>
    </row>
    <row r="38" spans="1:7" ht="63.75" x14ac:dyDescent="0.2">
      <c r="A38" s="33" t="s">
        <v>127</v>
      </c>
      <c r="B38" s="34" t="s">
        <v>62</v>
      </c>
      <c r="C38" s="35">
        <v>3717601</v>
      </c>
      <c r="D38" s="35">
        <v>5742</v>
      </c>
      <c r="E38" s="35"/>
      <c r="F38" s="35">
        <f t="shared" si="3"/>
        <v>3723343</v>
      </c>
      <c r="G38" s="35"/>
    </row>
    <row r="39" spans="1:7" ht="51" x14ac:dyDescent="0.2">
      <c r="A39" s="33" t="s">
        <v>128</v>
      </c>
      <c r="B39" s="34" t="s">
        <v>63</v>
      </c>
      <c r="C39" s="35">
        <v>82000</v>
      </c>
      <c r="D39" s="35"/>
      <c r="E39" s="35"/>
      <c r="F39" s="35">
        <f t="shared" si="3"/>
        <v>82000</v>
      </c>
      <c r="G39" s="35"/>
    </row>
    <row r="40" spans="1:7" x14ac:dyDescent="0.2">
      <c r="A40" s="33" t="s">
        <v>129</v>
      </c>
      <c r="B40" s="34" t="s">
        <v>67</v>
      </c>
      <c r="C40" s="35">
        <v>57150</v>
      </c>
      <c r="D40" s="35"/>
      <c r="E40" s="35"/>
      <c r="F40" s="35">
        <f t="shared" si="3"/>
        <v>57150</v>
      </c>
      <c r="G40" s="35"/>
    </row>
    <row r="41" spans="1:7" x14ac:dyDescent="0.2">
      <c r="A41" s="33" t="s">
        <v>130</v>
      </c>
      <c r="B41" s="34" t="s">
        <v>68</v>
      </c>
      <c r="C41" s="35">
        <v>56550</v>
      </c>
      <c r="D41" s="35"/>
      <c r="E41" s="35"/>
      <c r="F41" s="35">
        <f t="shared" si="3"/>
        <v>56550</v>
      </c>
      <c r="G41" s="35"/>
    </row>
    <row r="42" spans="1:7" ht="38.25" x14ac:dyDescent="0.2">
      <c r="A42" s="33" t="s">
        <v>147</v>
      </c>
      <c r="B42" s="34" t="s">
        <v>121</v>
      </c>
      <c r="C42" s="35">
        <v>20000</v>
      </c>
      <c r="D42" s="35"/>
      <c r="E42" s="35"/>
      <c r="F42" s="35">
        <f t="shared" si="3"/>
        <v>20000</v>
      </c>
      <c r="G42" s="35"/>
    </row>
    <row r="43" spans="1:7" x14ac:dyDescent="0.2">
      <c r="A43" s="33" t="s">
        <v>140</v>
      </c>
      <c r="B43" s="34" t="s">
        <v>71</v>
      </c>
      <c r="C43" s="35">
        <v>18500</v>
      </c>
      <c r="D43" s="35"/>
      <c r="E43" s="35"/>
      <c r="F43" s="35">
        <f t="shared" si="3"/>
        <v>18500</v>
      </c>
      <c r="G43" s="35"/>
    </row>
    <row r="44" spans="1:7" x14ac:dyDescent="0.2">
      <c r="A44" s="33" t="s">
        <v>132</v>
      </c>
      <c r="B44" s="34" t="s">
        <v>51</v>
      </c>
      <c r="C44" s="35">
        <v>639000</v>
      </c>
      <c r="D44" s="35"/>
      <c r="E44" s="35">
        <f>G44-C44</f>
        <v>70000</v>
      </c>
      <c r="F44" s="35">
        <f t="shared" si="3"/>
        <v>709000</v>
      </c>
      <c r="G44" s="35">
        <v>709000</v>
      </c>
    </row>
    <row r="45" spans="1:7" ht="25.5" x14ac:dyDescent="0.2">
      <c r="A45" s="33" t="s">
        <v>141</v>
      </c>
      <c r="B45" s="34" t="s">
        <v>69</v>
      </c>
      <c r="C45" s="35"/>
      <c r="D45" s="35"/>
      <c r="E45" s="35"/>
      <c r="F45" s="35">
        <f t="shared" si="3"/>
        <v>0</v>
      </c>
      <c r="G45" s="35"/>
    </row>
    <row r="46" spans="1:7" x14ac:dyDescent="0.2">
      <c r="A46" s="33" t="s">
        <v>142</v>
      </c>
      <c r="B46" s="34" t="s">
        <v>66</v>
      </c>
      <c r="C46" s="35">
        <v>3100</v>
      </c>
      <c r="D46" s="35"/>
      <c r="E46" s="35"/>
      <c r="F46" s="35">
        <f t="shared" si="3"/>
        <v>3100</v>
      </c>
      <c r="G46" s="35"/>
    </row>
    <row r="47" spans="1:7" x14ac:dyDescent="0.2">
      <c r="A47" s="33" t="s">
        <v>143</v>
      </c>
      <c r="B47" s="34" t="s">
        <v>65</v>
      </c>
      <c r="C47" s="35">
        <v>639898</v>
      </c>
      <c r="D47" s="35"/>
      <c r="E47" s="35"/>
      <c r="F47" s="35">
        <f t="shared" si="3"/>
        <v>639898</v>
      </c>
      <c r="G47" s="35"/>
    </row>
    <row r="48" spans="1:7" x14ac:dyDescent="0.2">
      <c r="A48" s="33" t="s">
        <v>133</v>
      </c>
      <c r="B48" s="34" t="s">
        <v>52</v>
      </c>
      <c r="C48" s="35">
        <v>481271</v>
      </c>
      <c r="D48" s="35">
        <v>950</v>
      </c>
      <c r="E48" s="35"/>
      <c r="F48" s="35">
        <f t="shared" si="3"/>
        <v>482221</v>
      </c>
      <c r="G48" s="35"/>
    </row>
    <row r="49" spans="1:7" x14ac:dyDescent="0.2">
      <c r="A49" s="33" t="s">
        <v>134</v>
      </c>
      <c r="B49" s="34" t="s">
        <v>152</v>
      </c>
      <c r="C49" s="35">
        <v>1082427</v>
      </c>
      <c r="D49" s="35">
        <v>10727</v>
      </c>
      <c r="E49" s="35"/>
      <c r="F49" s="35">
        <f t="shared" si="3"/>
        <v>1093154</v>
      </c>
      <c r="G49" s="35"/>
    </row>
    <row r="50" spans="1:7" x14ac:dyDescent="0.2">
      <c r="A50" s="33" t="s">
        <v>135</v>
      </c>
      <c r="B50" s="34" t="s">
        <v>70</v>
      </c>
      <c r="C50" s="35">
        <v>62000</v>
      </c>
      <c r="D50" s="35"/>
      <c r="E50" s="35"/>
      <c r="F50" s="35">
        <f t="shared" si="3"/>
        <v>62000</v>
      </c>
      <c r="G50" s="35"/>
    </row>
    <row r="51" spans="1:7" x14ac:dyDescent="0.2">
      <c r="A51" s="33" t="s">
        <v>136</v>
      </c>
      <c r="B51" s="34" t="s">
        <v>64</v>
      </c>
      <c r="C51" s="35">
        <v>34000</v>
      </c>
      <c r="D51" s="35"/>
      <c r="E51" s="35"/>
      <c r="F51" s="35">
        <f t="shared" si="3"/>
        <v>34000</v>
      </c>
      <c r="G51" s="35"/>
    </row>
    <row r="52" spans="1:7" ht="25.5" x14ac:dyDescent="0.2">
      <c r="A52" s="30" t="s">
        <v>148</v>
      </c>
      <c r="B52" s="31"/>
      <c r="C52" s="32">
        <f>SUM(C53:C66)</f>
        <v>7488882</v>
      </c>
      <c r="D52" s="32">
        <f>SUM(D53:D66)</f>
        <v>13509</v>
      </c>
      <c r="E52" s="32">
        <f>SUM(E53:E66)</f>
        <v>77000</v>
      </c>
      <c r="F52" s="32">
        <f>SUM(F53:F66)</f>
        <v>7579391</v>
      </c>
      <c r="G52" s="32">
        <f>SUM(G53:G66)</f>
        <v>773000</v>
      </c>
    </row>
    <row r="53" spans="1:7" ht="38.25" x14ac:dyDescent="0.2">
      <c r="A53" s="33" t="s">
        <v>126</v>
      </c>
      <c r="B53" s="34" t="s">
        <v>60</v>
      </c>
      <c r="C53" s="35">
        <v>868100</v>
      </c>
      <c r="D53" s="35"/>
      <c r="E53" s="35"/>
      <c r="F53" s="35">
        <f t="shared" ref="F53:F66" si="4">SUM(D53:E53,C53)</f>
        <v>868100</v>
      </c>
      <c r="G53" s="35"/>
    </row>
    <row r="54" spans="1:7" ht="63.75" x14ac:dyDescent="0.2">
      <c r="A54" s="33" t="s">
        <v>127</v>
      </c>
      <c r="B54" s="34" t="s">
        <v>62</v>
      </c>
      <c r="C54" s="35">
        <v>3717581</v>
      </c>
      <c r="D54" s="35">
        <v>1581</v>
      </c>
      <c r="E54" s="35"/>
      <c r="F54" s="35">
        <f t="shared" si="4"/>
        <v>3719162</v>
      </c>
      <c r="G54" s="35"/>
    </row>
    <row r="55" spans="1:7" ht="51" x14ac:dyDescent="0.2">
      <c r="A55" s="33" t="s">
        <v>128</v>
      </c>
      <c r="B55" s="34" t="s">
        <v>63</v>
      </c>
      <c r="C55" s="35">
        <v>80000</v>
      </c>
      <c r="D55" s="35"/>
      <c r="E55" s="35"/>
      <c r="F55" s="35">
        <f t="shared" si="4"/>
        <v>80000</v>
      </c>
      <c r="G55" s="35"/>
    </row>
    <row r="56" spans="1:7" x14ac:dyDescent="0.2">
      <c r="A56" s="33" t="s">
        <v>129</v>
      </c>
      <c r="B56" s="34" t="s">
        <v>67</v>
      </c>
      <c r="C56" s="35">
        <v>65000</v>
      </c>
      <c r="D56" s="35"/>
      <c r="E56" s="35"/>
      <c r="F56" s="35">
        <f t="shared" si="4"/>
        <v>65000</v>
      </c>
      <c r="G56" s="35"/>
    </row>
    <row r="57" spans="1:7" x14ac:dyDescent="0.2">
      <c r="A57" s="33" t="s">
        <v>130</v>
      </c>
      <c r="B57" s="34" t="s">
        <v>68</v>
      </c>
      <c r="C57" s="35">
        <v>80000</v>
      </c>
      <c r="D57" s="35"/>
      <c r="E57" s="35"/>
      <c r="F57" s="35">
        <f t="shared" si="4"/>
        <v>80000</v>
      </c>
      <c r="G57" s="35"/>
    </row>
    <row r="58" spans="1:7" x14ac:dyDescent="0.2">
      <c r="A58" s="33" t="s">
        <v>140</v>
      </c>
      <c r="B58" s="34" t="s">
        <v>71</v>
      </c>
      <c r="C58" s="35">
        <v>45000</v>
      </c>
      <c r="D58" s="35"/>
      <c r="E58" s="35"/>
      <c r="F58" s="35">
        <f t="shared" si="4"/>
        <v>45000</v>
      </c>
      <c r="G58" s="35"/>
    </row>
    <row r="59" spans="1:7" x14ac:dyDescent="0.2">
      <c r="A59" s="33" t="s">
        <v>132</v>
      </c>
      <c r="B59" s="34" t="s">
        <v>51</v>
      </c>
      <c r="C59" s="35">
        <v>696000</v>
      </c>
      <c r="D59" s="35"/>
      <c r="E59" s="35">
        <f>G59-C59</f>
        <v>77000</v>
      </c>
      <c r="F59" s="35">
        <f t="shared" si="4"/>
        <v>773000</v>
      </c>
      <c r="G59" s="35">
        <v>773000</v>
      </c>
    </row>
    <row r="60" spans="1:7" ht="25.5" x14ac:dyDescent="0.2">
      <c r="A60" s="33" t="s">
        <v>141</v>
      </c>
      <c r="B60" s="34" t="s">
        <v>69</v>
      </c>
      <c r="C60" s="35">
        <v>130000</v>
      </c>
      <c r="D60" s="35"/>
      <c r="E60" s="35"/>
      <c r="F60" s="35">
        <f t="shared" si="4"/>
        <v>130000</v>
      </c>
      <c r="G60" s="35"/>
    </row>
    <row r="61" spans="1:7" x14ac:dyDescent="0.2">
      <c r="A61" s="33" t="s">
        <v>143</v>
      </c>
      <c r="B61" s="34" t="s">
        <v>65</v>
      </c>
      <c r="C61" s="35">
        <v>161700</v>
      </c>
      <c r="D61" s="35"/>
      <c r="E61" s="35"/>
      <c r="F61" s="35">
        <f t="shared" si="4"/>
        <v>161700</v>
      </c>
      <c r="G61" s="35"/>
    </row>
    <row r="62" spans="1:7" x14ac:dyDescent="0.2">
      <c r="A62" s="33" t="s">
        <v>133</v>
      </c>
      <c r="B62" s="34" t="s">
        <v>52</v>
      </c>
      <c r="C62" s="35">
        <v>430952</v>
      </c>
      <c r="D62" s="35">
        <v>3952</v>
      </c>
      <c r="E62" s="35"/>
      <c r="F62" s="35">
        <f t="shared" si="4"/>
        <v>434904</v>
      </c>
      <c r="G62" s="35"/>
    </row>
    <row r="63" spans="1:7" x14ac:dyDescent="0.2">
      <c r="A63" s="33" t="s">
        <v>134</v>
      </c>
      <c r="B63" s="34" t="s">
        <v>152</v>
      </c>
      <c r="C63" s="35">
        <v>1080549</v>
      </c>
      <c r="D63" s="35">
        <v>7976</v>
      </c>
      <c r="E63" s="35"/>
      <c r="F63" s="35">
        <f t="shared" si="4"/>
        <v>1088525</v>
      </c>
      <c r="G63" s="35"/>
    </row>
    <row r="64" spans="1:7" ht="25.5" x14ac:dyDescent="0.2">
      <c r="A64" s="33" t="s">
        <v>149</v>
      </c>
      <c r="B64" s="34" t="s">
        <v>155</v>
      </c>
      <c r="C64" s="35">
        <v>20000</v>
      </c>
      <c r="D64" s="35"/>
      <c r="E64" s="35"/>
      <c r="F64" s="35">
        <f t="shared" si="4"/>
        <v>20000</v>
      </c>
      <c r="G64" s="35"/>
    </row>
    <row r="65" spans="1:7" x14ac:dyDescent="0.2">
      <c r="A65" s="33" t="s">
        <v>135</v>
      </c>
      <c r="B65" s="34" t="s">
        <v>70</v>
      </c>
      <c r="C65" s="35">
        <v>80000</v>
      </c>
      <c r="D65" s="35"/>
      <c r="E65" s="35"/>
      <c r="F65" s="35">
        <f t="shared" si="4"/>
        <v>80000</v>
      </c>
      <c r="G65" s="35"/>
    </row>
    <row r="66" spans="1:7" x14ac:dyDescent="0.2">
      <c r="A66" s="33" t="s">
        <v>136</v>
      </c>
      <c r="B66" s="34" t="s">
        <v>64</v>
      </c>
      <c r="C66" s="35">
        <v>34000</v>
      </c>
      <c r="D66" s="35"/>
      <c r="E66" s="35"/>
      <c r="F66" s="35">
        <f t="shared" si="4"/>
        <v>34000</v>
      </c>
      <c r="G66" s="35"/>
    </row>
    <row r="67" spans="1:7" ht="25.5" x14ac:dyDescent="0.2">
      <c r="A67" s="30" t="s">
        <v>150</v>
      </c>
      <c r="B67" s="31"/>
      <c r="C67" s="32">
        <f>SUM(C68:C77)</f>
        <v>6071176</v>
      </c>
      <c r="D67" s="32">
        <f>SUM(D68:D77)</f>
        <v>49174</v>
      </c>
      <c r="E67" s="32">
        <f>SUM(E68:E77)</f>
        <v>53000</v>
      </c>
      <c r="F67" s="32">
        <f>SUM(F68:F77)</f>
        <v>6173350</v>
      </c>
      <c r="G67" s="32">
        <f>SUM(G68:G77)</f>
        <v>515000</v>
      </c>
    </row>
    <row r="68" spans="1:7" ht="38.25" x14ac:dyDescent="0.2">
      <c r="A68" s="33" t="s">
        <v>126</v>
      </c>
      <c r="B68" s="34" t="s">
        <v>60</v>
      </c>
      <c r="C68" s="35">
        <v>852720</v>
      </c>
      <c r="D68" s="35"/>
      <c r="E68" s="35"/>
      <c r="F68" s="35">
        <f t="shared" ref="F68:F77" si="5">SUM(D68:E68,C68)</f>
        <v>852720</v>
      </c>
      <c r="G68" s="35"/>
    </row>
    <row r="69" spans="1:7" ht="63.75" x14ac:dyDescent="0.2">
      <c r="A69" s="33" t="s">
        <v>127</v>
      </c>
      <c r="B69" s="34" t="s">
        <v>62</v>
      </c>
      <c r="C69" s="35">
        <v>2967145</v>
      </c>
      <c r="D69" s="35">
        <v>15962</v>
      </c>
      <c r="E69" s="35"/>
      <c r="F69" s="35">
        <f t="shared" si="5"/>
        <v>2983107</v>
      </c>
      <c r="G69" s="35"/>
    </row>
    <row r="70" spans="1:7" ht="51" x14ac:dyDescent="0.2">
      <c r="A70" s="33" t="s">
        <v>128</v>
      </c>
      <c r="B70" s="34" t="s">
        <v>63</v>
      </c>
      <c r="C70" s="35">
        <v>66000</v>
      </c>
      <c r="D70" s="35"/>
      <c r="E70" s="35"/>
      <c r="F70" s="35">
        <f t="shared" si="5"/>
        <v>66000</v>
      </c>
      <c r="G70" s="35"/>
    </row>
    <row r="71" spans="1:7" x14ac:dyDescent="0.2">
      <c r="A71" s="33" t="s">
        <v>130</v>
      </c>
      <c r="B71" s="34" t="s">
        <v>68</v>
      </c>
      <c r="C71" s="35">
        <v>5300</v>
      </c>
      <c r="D71" s="35"/>
      <c r="E71" s="35"/>
      <c r="F71" s="35">
        <f t="shared" si="5"/>
        <v>5300</v>
      </c>
      <c r="G71" s="35"/>
    </row>
    <row r="72" spans="1:7" x14ac:dyDescent="0.2">
      <c r="A72" s="33" t="s">
        <v>132</v>
      </c>
      <c r="B72" s="34" t="s">
        <v>51</v>
      </c>
      <c r="C72" s="35">
        <v>462000</v>
      </c>
      <c r="D72" s="35"/>
      <c r="E72" s="35">
        <f>G72-C72</f>
        <v>53000</v>
      </c>
      <c r="F72" s="35">
        <f t="shared" si="5"/>
        <v>515000</v>
      </c>
      <c r="G72" s="35">
        <v>515000</v>
      </c>
    </row>
    <row r="73" spans="1:7" ht="25.5" x14ac:dyDescent="0.2">
      <c r="A73" s="33" t="s">
        <v>141</v>
      </c>
      <c r="B73" s="34" t="s">
        <v>69</v>
      </c>
      <c r="C73" s="35">
        <v>107435</v>
      </c>
      <c r="D73" s="35"/>
      <c r="E73" s="35"/>
      <c r="F73" s="35">
        <f t="shared" si="5"/>
        <v>107435</v>
      </c>
      <c r="G73" s="35"/>
    </row>
    <row r="74" spans="1:7" x14ac:dyDescent="0.2">
      <c r="A74" s="33" t="s">
        <v>133</v>
      </c>
      <c r="B74" s="34" t="s">
        <v>52</v>
      </c>
      <c r="C74" s="35">
        <v>261744</v>
      </c>
      <c r="D74" s="35">
        <v>10064</v>
      </c>
      <c r="E74" s="35"/>
      <c r="F74" s="35">
        <f t="shared" si="5"/>
        <v>271808</v>
      </c>
      <c r="G74" s="35"/>
    </row>
    <row r="75" spans="1:7" x14ac:dyDescent="0.2">
      <c r="A75" s="33" t="s">
        <v>134</v>
      </c>
      <c r="B75" s="34" t="s">
        <v>152</v>
      </c>
      <c r="C75" s="35">
        <v>1281832</v>
      </c>
      <c r="D75" s="35">
        <v>23148</v>
      </c>
      <c r="E75" s="35"/>
      <c r="F75" s="35">
        <f t="shared" si="5"/>
        <v>1304980</v>
      </c>
      <c r="G75" s="35"/>
    </row>
    <row r="76" spans="1:7" x14ac:dyDescent="0.2">
      <c r="A76" s="33" t="s">
        <v>135</v>
      </c>
      <c r="B76" s="34" t="s">
        <v>70</v>
      </c>
      <c r="C76" s="35">
        <v>50000</v>
      </c>
      <c r="D76" s="35"/>
      <c r="E76" s="35"/>
      <c r="F76" s="35">
        <f t="shared" si="5"/>
        <v>50000</v>
      </c>
      <c r="G76" s="35"/>
    </row>
    <row r="77" spans="1:7" x14ac:dyDescent="0.2">
      <c r="A77" s="33" t="s">
        <v>136</v>
      </c>
      <c r="B77" s="34" t="s">
        <v>64</v>
      </c>
      <c r="C77" s="35">
        <v>17000</v>
      </c>
      <c r="D77" s="35"/>
      <c r="E77" s="35"/>
      <c r="F77" s="35">
        <f t="shared" si="5"/>
        <v>17000</v>
      </c>
      <c r="G77" s="35"/>
    </row>
    <row r="78" spans="1:7" ht="25.5" x14ac:dyDescent="0.2">
      <c r="A78" s="30" t="s">
        <v>151</v>
      </c>
      <c r="B78" s="31"/>
      <c r="C78" s="32">
        <f>SUM(C79:C90)</f>
        <v>5183046</v>
      </c>
      <c r="D78" s="32">
        <f>SUM(D79:D90)</f>
        <v>21945</v>
      </c>
      <c r="E78" s="32">
        <f>SUM(E79:E90)</f>
        <v>32000</v>
      </c>
      <c r="F78" s="32">
        <f>SUM(F79:F90)</f>
        <v>5236991</v>
      </c>
      <c r="G78" s="32">
        <f>SUM(G79:G90)</f>
        <v>318000</v>
      </c>
    </row>
    <row r="79" spans="1:7" ht="38.25" x14ac:dyDescent="0.2">
      <c r="A79" s="33" t="s">
        <v>126</v>
      </c>
      <c r="B79" s="34" t="s">
        <v>60</v>
      </c>
      <c r="C79" s="35">
        <v>820680</v>
      </c>
      <c r="D79" s="35"/>
      <c r="E79" s="35"/>
      <c r="F79" s="35">
        <f t="shared" ref="F79:F90" si="6">SUM(D79:E79,C79)</f>
        <v>820680</v>
      </c>
      <c r="G79" s="35"/>
    </row>
    <row r="80" spans="1:7" ht="63.75" x14ac:dyDescent="0.2">
      <c r="A80" s="33" t="s">
        <v>127</v>
      </c>
      <c r="B80" s="34" t="s">
        <v>62</v>
      </c>
      <c r="C80" s="35">
        <v>3098885</v>
      </c>
      <c r="D80" s="35">
        <v>8557</v>
      </c>
      <c r="E80" s="35"/>
      <c r="F80" s="35">
        <f t="shared" si="6"/>
        <v>3107442</v>
      </c>
      <c r="G80" s="35"/>
    </row>
    <row r="81" spans="1:7" ht="51" x14ac:dyDescent="0.2">
      <c r="A81" s="33" t="s">
        <v>128</v>
      </c>
      <c r="B81" s="34" t="s">
        <v>63</v>
      </c>
      <c r="C81" s="35">
        <v>60600</v>
      </c>
      <c r="D81" s="35"/>
      <c r="E81" s="35"/>
      <c r="F81" s="35">
        <f t="shared" si="6"/>
        <v>60600</v>
      </c>
      <c r="G81" s="35"/>
    </row>
    <row r="82" spans="1:7" x14ac:dyDescent="0.2">
      <c r="A82" s="33" t="s">
        <v>129</v>
      </c>
      <c r="B82" s="34" t="s">
        <v>67</v>
      </c>
      <c r="C82" s="35">
        <v>30000</v>
      </c>
      <c r="D82" s="35"/>
      <c r="E82" s="35"/>
      <c r="F82" s="35">
        <f t="shared" si="6"/>
        <v>30000</v>
      </c>
      <c r="G82" s="35"/>
    </row>
    <row r="83" spans="1:7" x14ac:dyDescent="0.2">
      <c r="A83" s="33" t="s">
        <v>130</v>
      </c>
      <c r="B83" s="34" t="s">
        <v>68</v>
      </c>
      <c r="C83" s="35">
        <v>33820</v>
      </c>
      <c r="D83" s="35"/>
      <c r="E83" s="35"/>
      <c r="F83" s="35">
        <f t="shared" si="6"/>
        <v>33820</v>
      </c>
      <c r="G83" s="35"/>
    </row>
    <row r="84" spans="1:7" x14ac:dyDescent="0.2">
      <c r="A84" s="33" t="s">
        <v>131</v>
      </c>
      <c r="B84" s="34" t="s">
        <v>51</v>
      </c>
      <c r="C84" s="35"/>
      <c r="D84" s="35"/>
      <c r="E84" s="35"/>
      <c r="F84" s="35">
        <f t="shared" si="6"/>
        <v>0</v>
      </c>
      <c r="G84" s="35"/>
    </row>
    <row r="85" spans="1:7" x14ac:dyDescent="0.2">
      <c r="A85" s="33" t="s">
        <v>132</v>
      </c>
      <c r="B85" s="34" t="s">
        <v>51</v>
      </c>
      <c r="C85" s="35">
        <v>286000</v>
      </c>
      <c r="D85" s="35"/>
      <c r="E85" s="35">
        <f>G85-C85</f>
        <v>32000</v>
      </c>
      <c r="F85" s="35">
        <f t="shared" si="6"/>
        <v>318000</v>
      </c>
      <c r="G85" s="35">
        <v>318000</v>
      </c>
    </row>
    <row r="86" spans="1:7" ht="25.5" x14ac:dyDescent="0.2">
      <c r="A86" s="33" t="s">
        <v>141</v>
      </c>
      <c r="B86" s="34" t="s">
        <v>69</v>
      </c>
      <c r="C86" s="35">
        <v>20000</v>
      </c>
      <c r="D86" s="35"/>
      <c r="E86" s="35"/>
      <c r="F86" s="35">
        <f t="shared" si="6"/>
        <v>20000</v>
      </c>
      <c r="G86" s="35"/>
    </row>
    <row r="87" spans="1:7" x14ac:dyDescent="0.2">
      <c r="A87" s="33" t="s">
        <v>133</v>
      </c>
      <c r="B87" s="34" t="s">
        <v>52</v>
      </c>
      <c r="C87" s="35">
        <v>101936</v>
      </c>
      <c r="D87" s="35">
        <v>3536</v>
      </c>
      <c r="E87" s="35"/>
      <c r="F87" s="35">
        <f t="shared" si="6"/>
        <v>105472</v>
      </c>
      <c r="G87" s="35"/>
    </row>
    <row r="88" spans="1:7" x14ac:dyDescent="0.2">
      <c r="A88" s="33" t="s">
        <v>134</v>
      </c>
      <c r="B88" s="34" t="s">
        <v>152</v>
      </c>
      <c r="C88" s="35">
        <v>694125</v>
      </c>
      <c r="D88" s="35">
        <v>9852</v>
      </c>
      <c r="E88" s="35"/>
      <c r="F88" s="35">
        <f t="shared" si="6"/>
        <v>703977</v>
      </c>
      <c r="G88" s="35"/>
    </row>
    <row r="89" spans="1:7" x14ac:dyDescent="0.2">
      <c r="A89" s="33" t="s">
        <v>135</v>
      </c>
      <c r="B89" s="34" t="s">
        <v>70</v>
      </c>
      <c r="C89" s="35">
        <v>24000</v>
      </c>
      <c r="D89" s="35"/>
      <c r="E89" s="35"/>
      <c r="F89" s="35">
        <f t="shared" si="6"/>
        <v>24000</v>
      </c>
      <c r="G89" s="35"/>
    </row>
    <row r="90" spans="1:7" x14ac:dyDescent="0.2">
      <c r="A90" s="33" t="s">
        <v>136</v>
      </c>
      <c r="B90" s="34" t="s">
        <v>64</v>
      </c>
      <c r="C90" s="35">
        <v>13000</v>
      </c>
      <c r="D90" s="35"/>
      <c r="E90" s="35"/>
      <c r="F90" s="35">
        <f t="shared" si="6"/>
        <v>13000</v>
      </c>
      <c r="G90" s="35"/>
    </row>
  </sheetData>
  <pageMargins left="0.51181102362204722" right="0.31496062992125984" top="0.55118110236220474" bottom="0.55118110236220474" header="0.31496062992125984" footer="0.31496062992125984"/>
  <pageSetup paperSize="9" scale="93" firstPageNumber="171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7"/>
  <sheetViews>
    <sheetView topLeftCell="A13" workbookViewId="0">
      <selection activeCell="J22" sqref="J22"/>
    </sheetView>
  </sheetViews>
  <sheetFormatPr defaultRowHeight="12.75" x14ac:dyDescent="0.2"/>
  <cols>
    <col min="1" max="1" width="22.5703125" customWidth="1"/>
    <col min="2" max="2" width="11.85546875" customWidth="1"/>
    <col min="3" max="3" width="13" customWidth="1"/>
    <col min="4" max="5" width="11.5703125" customWidth="1"/>
    <col min="6" max="6" width="13" customWidth="1"/>
    <col min="7" max="8" width="11.42578125" customWidth="1"/>
  </cols>
  <sheetData>
    <row r="6" spans="1:8" ht="31.5" x14ac:dyDescent="0.25">
      <c r="A6" s="104"/>
      <c r="B6" s="1"/>
      <c r="C6" s="19" t="s">
        <v>18</v>
      </c>
      <c r="D6" s="19" t="s">
        <v>19</v>
      </c>
      <c r="E6" s="19" t="s">
        <v>20</v>
      </c>
      <c r="F6" s="19" t="s">
        <v>21</v>
      </c>
      <c r="G6" s="19" t="s">
        <v>22</v>
      </c>
      <c r="H6" s="19" t="s">
        <v>23</v>
      </c>
    </row>
    <row r="7" spans="1:8" ht="15.75" x14ac:dyDescent="0.25">
      <c r="A7" s="105" t="s">
        <v>60</v>
      </c>
      <c r="B7" s="106">
        <f>SUM(C7:H7)</f>
        <v>5913.0340000000006</v>
      </c>
      <c r="C7" s="20">
        <v>1646.21</v>
      </c>
      <c r="D7" s="20">
        <v>849.96</v>
      </c>
      <c r="E7" s="20">
        <v>913.85</v>
      </c>
      <c r="F7" s="106">
        <v>842.5</v>
      </c>
      <c r="G7" s="106">
        <v>838.43700000000001</v>
      </c>
      <c r="H7" s="20">
        <v>822.077</v>
      </c>
    </row>
    <row r="8" spans="1:8" ht="15.75" x14ac:dyDescent="0.25">
      <c r="A8" s="105" t="s">
        <v>61</v>
      </c>
      <c r="B8" s="106">
        <f t="shared" ref="B8:B34" si="0">SUM(C8:H8)</f>
        <v>749.36</v>
      </c>
      <c r="C8" s="20">
        <v>749.36</v>
      </c>
      <c r="D8" s="20"/>
      <c r="E8" s="20"/>
      <c r="F8" s="106"/>
      <c r="G8" s="106"/>
      <c r="H8" s="20"/>
    </row>
    <row r="9" spans="1:8" ht="15.75" x14ac:dyDescent="0.25">
      <c r="A9" s="105" t="s">
        <v>62</v>
      </c>
      <c r="B9" s="106">
        <f t="shared" si="0"/>
        <v>31803.495000000003</v>
      </c>
      <c r="C9" s="20">
        <v>14887.08</v>
      </c>
      <c r="D9" s="20">
        <v>3792.9760000000001</v>
      </c>
      <c r="E9" s="20">
        <v>3738.3359999999998</v>
      </c>
      <c r="F9" s="106">
        <v>3009.6579999999999</v>
      </c>
      <c r="G9" s="106">
        <v>3015.7950000000001</v>
      </c>
      <c r="H9" s="20">
        <v>3359.65</v>
      </c>
    </row>
    <row r="10" spans="1:8" ht="15.75" x14ac:dyDescent="0.25">
      <c r="A10" s="105" t="s">
        <v>63</v>
      </c>
      <c r="B10" s="106">
        <f t="shared" si="0"/>
        <v>1108.404</v>
      </c>
      <c r="C10" s="20">
        <v>759.404</v>
      </c>
      <c r="D10" s="106">
        <v>82</v>
      </c>
      <c r="E10" s="106">
        <v>80</v>
      </c>
      <c r="F10" s="106">
        <v>66</v>
      </c>
      <c r="G10" s="106">
        <v>60.6</v>
      </c>
      <c r="H10" s="106">
        <v>60.4</v>
      </c>
    </row>
    <row r="11" spans="1:8" ht="15.75" x14ac:dyDescent="0.25">
      <c r="A11" s="107" t="s">
        <v>162</v>
      </c>
      <c r="B11" s="108">
        <f t="shared" ref="B11:H11" si="1">SUM(B7:B10)</f>
        <v>39574.293000000005</v>
      </c>
      <c r="C11" s="108">
        <f t="shared" si="1"/>
        <v>18042.054</v>
      </c>
      <c r="D11" s="108">
        <f t="shared" si="1"/>
        <v>4724.9359999999997</v>
      </c>
      <c r="E11" s="108">
        <f t="shared" si="1"/>
        <v>4732.1859999999997</v>
      </c>
      <c r="F11" s="108">
        <f t="shared" si="1"/>
        <v>3918.1579999999999</v>
      </c>
      <c r="G11" s="108">
        <f t="shared" si="1"/>
        <v>3914.8319999999999</v>
      </c>
      <c r="H11" s="108">
        <f t="shared" si="1"/>
        <v>4242.1269999999995</v>
      </c>
    </row>
    <row r="12" spans="1:8" ht="15.75" x14ac:dyDescent="0.25">
      <c r="A12" s="105" t="s">
        <v>163</v>
      </c>
      <c r="B12" s="106">
        <f t="shared" si="0"/>
        <v>20395.738000000001</v>
      </c>
      <c r="C12" s="20">
        <v>15365.26</v>
      </c>
      <c r="D12" s="106">
        <v>1146</v>
      </c>
      <c r="E12" s="106">
        <v>1064.5</v>
      </c>
      <c r="F12" s="106">
        <v>1360</v>
      </c>
      <c r="G12" s="106">
        <v>794.27800000000002</v>
      </c>
      <c r="H12" s="106">
        <v>665.7</v>
      </c>
    </row>
    <row r="13" spans="1:8" ht="15.75" x14ac:dyDescent="0.25">
      <c r="A13" s="105" t="s">
        <v>64</v>
      </c>
      <c r="B13" s="106">
        <f t="shared" si="0"/>
        <v>4985.8280000000004</v>
      </c>
      <c r="C13" s="106">
        <v>4879.8280000000004</v>
      </c>
      <c r="D13" s="106">
        <v>34</v>
      </c>
      <c r="E13" s="106">
        <v>34</v>
      </c>
      <c r="F13" s="106">
        <v>17</v>
      </c>
      <c r="G13" s="106">
        <v>13</v>
      </c>
      <c r="H13" s="106">
        <v>8</v>
      </c>
    </row>
    <row r="14" spans="1:8" ht="15.75" x14ac:dyDescent="0.25">
      <c r="A14" s="107" t="s">
        <v>164</v>
      </c>
      <c r="B14" s="108">
        <f>SUM(B12:B13)</f>
        <v>25381.566000000003</v>
      </c>
      <c r="C14" s="108">
        <f t="shared" ref="C14:H14" si="2">SUM(C12:C13)</f>
        <v>20245.088</v>
      </c>
      <c r="D14" s="108">
        <f t="shared" si="2"/>
        <v>1180</v>
      </c>
      <c r="E14" s="108">
        <f t="shared" si="2"/>
        <v>1098.5</v>
      </c>
      <c r="F14" s="108">
        <f t="shared" si="2"/>
        <v>1377</v>
      </c>
      <c r="G14" s="108">
        <f t="shared" si="2"/>
        <v>807.27800000000002</v>
      </c>
      <c r="H14" s="108">
        <f t="shared" si="2"/>
        <v>673.7</v>
      </c>
    </row>
    <row r="15" spans="1:8" ht="15.75" x14ac:dyDescent="0.25">
      <c r="A15" s="105" t="s">
        <v>65</v>
      </c>
      <c r="B15" s="106">
        <f t="shared" si="0"/>
        <v>1762.636</v>
      </c>
      <c r="C15" s="20">
        <v>1004.322</v>
      </c>
      <c r="D15" s="106">
        <v>577.31399999999996</v>
      </c>
      <c r="E15" s="106">
        <v>181</v>
      </c>
      <c r="F15" s="106"/>
      <c r="G15" s="106"/>
      <c r="H15" s="106"/>
    </row>
    <row r="16" spans="1:8" ht="15.75" x14ac:dyDescent="0.25">
      <c r="A16" s="107" t="s">
        <v>165</v>
      </c>
      <c r="B16" s="108">
        <f t="shared" si="0"/>
        <v>1762.636</v>
      </c>
      <c r="C16" s="108">
        <f>C15</f>
        <v>1004.322</v>
      </c>
      <c r="D16" s="108">
        <f t="shared" ref="D16:H16" si="3">D15</f>
        <v>577.31399999999996</v>
      </c>
      <c r="E16" s="108">
        <f t="shared" si="3"/>
        <v>181</v>
      </c>
      <c r="F16" s="108">
        <f t="shared" si="3"/>
        <v>0</v>
      </c>
      <c r="G16" s="108">
        <f t="shared" si="3"/>
        <v>0</v>
      </c>
      <c r="H16" s="108">
        <f t="shared" si="3"/>
        <v>0</v>
      </c>
    </row>
    <row r="17" spans="1:8" ht="15.75" x14ac:dyDescent="0.25">
      <c r="A17" s="109" t="s">
        <v>166</v>
      </c>
      <c r="B17" s="110">
        <f t="shared" si="0"/>
        <v>0</v>
      </c>
      <c r="C17" s="110"/>
      <c r="D17" s="110"/>
      <c r="E17" s="110"/>
      <c r="F17" s="110"/>
      <c r="G17" s="110"/>
      <c r="H17" s="110"/>
    </row>
    <row r="18" spans="1:8" ht="15.75" x14ac:dyDescent="0.25">
      <c r="A18" s="109" t="s">
        <v>167</v>
      </c>
      <c r="B18" s="110">
        <f t="shared" si="0"/>
        <v>2431.2510000000002</v>
      </c>
      <c r="C18" s="110">
        <v>2431.2510000000002</v>
      </c>
      <c r="D18" s="110"/>
      <c r="E18" s="110"/>
      <c r="F18" s="110"/>
      <c r="G18" s="110"/>
      <c r="H18" s="110"/>
    </row>
    <row r="19" spans="1:8" ht="15.75" x14ac:dyDescent="0.25">
      <c r="A19" s="109" t="s">
        <v>168</v>
      </c>
      <c r="B19" s="110">
        <f t="shared" si="0"/>
        <v>4929</v>
      </c>
      <c r="C19" s="110">
        <v>2449</v>
      </c>
      <c r="D19" s="110">
        <v>657</v>
      </c>
      <c r="E19" s="110">
        <v>715</v>
      </c>
      <c r="F19" s="110">
        <v>476</v>
      </c>
      <c r="G19" s="110">
        <v>294</v>
      </c>
      <c r="H19" s="110">
        <v>338</v>
      </c>
    </row>
    <row r="20" spans="1:8" ht="15.75" x14ac:dyDescent="0.25">
      <c r="A20" s="105" t="s">
        <v>52</v>
      </c>
      <c r="B20" s="106">
        <f t="shared" si="0"/>
        <v>5754.9800000000005</v>
      </c>
      <c r="C20" s="20">
        <v>4754.24</v>
      </c>
      <c r="D20" s="106">
        <v>273.60000000000002</v>
      </c>
      <c r="E20" s="106">
        <v>350.3</v>
      </c>
      <c r="F20" s="106">
        <v>236</v>
      </c>
      <c r="G20" s="106">
        <v>85.72</v>
      </c>
      <c r="H20" s="106">
        <v>55.12</v>
      </c>
    </row>
    <row r="21" spans="1:8" ht="15.75" x14ac:dyDescent="0.25">
      <c r="A21" s="107" t="s">
        <v>169</v>
      </c>
      <c r="B21" s="108">
        <f>SUM(B17:B20)</f>
        <v>13115.231</v>
      </c>
      <c r="C21" s="108">
        <f t="shared" ref="C21:H21" si="4">SUM(C17:C20)</f>
        <v>9634.491</v>
      </c>
      <c r="D21" s="108">
        <f t="shared" si="4"/>
        <v>930.6</v>
      </c>
      <c r="E21" s="108">
        <f t="shared" si="4"/>
        <v>1065.3</v>
      </c>
      <c r="F21" s="108">
        <f t="shared" si="4"/>
        <v>712</v>
      </c>
      <c r="G21" s="108">
        <f t="shared" si="4"/>
        <v>379.72</v>
      </c>
      <c r="H21" s="108">
        <f t="shared" si="4"/>
        <v>393.12</v>
      </c>
    </row>
    <row r="22" spans="1:8" ht="15.75" x14ac:dyDescent="0.25">
      <c r="A22" s="105" t="s">
        <v>66</v>
      </c>
      <c r="B22" s="106">
        <f t="shared" si="0"/>
        <v>644.22300000000007</v>
      </c>
      <c r="C22" s="20">
        <v>604.62900000000002</v>
      </c>
      <c r="D22" s="106">
        <v>32.950000000000003</v>
      </c>
      <c r="E22" s="106">
        <v>6.6440000000000001</v>
      </c>
      <c r="F22" s="106"/>
      <c r="G22" s="106"/>
      <c r="H22" s="106"/>
    </row>
    <row r="23" spans="1:8" ht="15.75" x14ac:dyDescent="0.25">
      <c r="A23" s="107" t="s">
        <v>170</v>
      </c>
      <c r="B23" s="108">
        <f t="shared" ref="B23:H23" si="5">B22</f>
        <v>644.22300000000007</v>
      </c>
      <c r="C23" s="108">
        <f t="shared" si="5"/>
        <v>604.62900000000002</v>
      </c>
      <c r="D23" s="108">
        <f t="shared" si="5"/>
        <v>32.950000000000003</v>
      </c>
      <c r="E23" s="108">
        <f t="shared" si="5"/>
        <v>6.6440000000000001</v>
      </c>
      <c r="F23" s="108">
        <f t="shared" si="5"/>
        <v>0</v>
      </c>
      <c r="G23" s="108">
        <f t="shared" si="5"/>
        <v>0</v>
      </c>
      <c r="H23" s="108">
        <f t="shared" si="5"/>
        <v>0</v>
      </c>
    </row>
    <row r="24" spans="1:8" ht="15.75" x14ac:dyDescent="0.25">
      <c r="A24" s="105" t="s">
        <v>67</v>
      </c>
      <c r="B24" s="106">
        <f t="shared" si="0"/>
        <v>776.4</v>
      </c>
      <c r="C24" s="20">
        <v>600</v>
      </c>
      <c r="D24" s="20">
        <v>60</v>
      </c>
      <c r="E24" s="20">
        <v>65</v>
      </c>
      <c r="F24" s="106">
        <v>5.9</v>
      </c>
      <c r="G24" s="106">
        <v>30</v>
      </c>
      <c r="H24" s="106">
        <v>15.5</v>
      </c>
    </row>
    <row r="25" spans="1:8" ht="15.75" x14ac:dyDescent="0.25">
      <c r="A25" s="105" t="s">
        <v>68</v>
      </c>
      <c r="B25" s="106">
        <f t="shared" si="0"/>
        <v>4350.9059999999999</v>
      </c>
      <c r="C25" s="20">
        <v>4130.9260000000004</v>
      </c>
      <c r="D25" s="20">
        <v>49.55</v>
      </c>
      <c r="E25" s="20">
        <v>72.069999999999993</v>
      </c>
      <c r="F25" s="106">
        <v>27.61</v>
      </c>
      <c r="G25" s="106">
        <v>65.75</v>
      </c>
      <c r="H25" s="106">
        <v>5</v>
      </c>
    </row>
    <row r="26" spans="1:8" ht="15.75" x14ac:dyDescent="0.25">
      <c r="A26" s="105" t="s">
        <v>121</v>
      </c>
      <c r="B26" s="106">
        <f t="shared" si="0"/>
        <v>20</v>
      </c>
      <c r="C26" s="20"/>
      <c r="D26" s="20">
        <v>20</v>
      </c>
      <c r="E26" s="20"/>
      <c r="F26" s="106"/>
      <c r="G26" s="106"/>
      <c r="H26" s="106"/>
    </row>
    <row r="27" spans="1:8" ht="15.75" x14ac:dyDescent="0.25">
      <c r="A27" s="105" t="s">
        <v>71</v>
      </c>
      <c r="B27" s="106">
        <f t="shared" si="0"/>
        <v>193.5</v>
      </c>
      <c r="C27" s="20">
        <v>130</v>
      </c>
      <c r="D27" s="20">
        <v>18.5</v>
      </c>
      <c r="E27" s="20">
        <v>45</v>
      </c>
      <c r="F27" s="106"/>
      <c r="G27" s="106"/>
      <c r="H27" s="106"/>
    </row>
    <row r="28" spans="1:8" ht="15.75" x14ac:dyDescent="0.25">
      <c r="A28" s="105" t="s">
        <v>175</v>
      </c>
      <c r="B28" s="106">
        <f t="shared" si="0"/>
        <v>0</v>
      </c>
      <c r="C28" s="106"/>
      <c r="D28" s="106"/>
      <c r="E28" s="106"/>
      <c r="F28" s="106"/>
      <c r="G28" s="106"/>
      <c r="H28" s="106"/>
    </row>
    <row r="29" spans="1:8" ht="15.75" x14ac:dyDescent="0.25">
      <c r="A29" s="105" t="s">
        <v>176</v>
      </c>
      <c r="B29" s="106">
        <f t="shared" si="0"/>
        <v>0</v>
      </c>
      <c r="C29" s="106"/>
      <c r="D29" s="106"/>
      <c r="E29" s="106" t="s">
        <v>171</v>
      </c>
      <c r="F29" s="106"/>
      <c r="G29" s="106"/>
      <c r="H29" s="106"/>
    </row>
    <row r="30" spans="1:8" ht="15.75" x14ac:dyDescent="0.25">
      <c r="A30" s="105" t="s">
        <v>177</v>
      </c>
      <c r="B30" s="106">
        <f t="shared" si="0"/>
        <v>0</v>
      </c>
      <c r="C30" s="106"/>
      <c r="D30" s="106"/>
      <c r="E30" s="106"/>
      <c r="F30" s="106"/>
      <c r="G30" s="106"/>
      <c r="H30" s="106"/>
    </row>
    <row r="31" spans="1:8" ht="15.75" x14ac:dyDescent="0.25">
      <c r="A31" s="105" t="s">
        <v>69</v>
      </c>
      <c r="B31" s="106">
        <f t="shared" si="0"/>
        <v>449.79700000000003</v>
      </c>
      <c r="C31" s="20">
        <v>270</v>
      </c>
      <c r="D31" s="106"/>
      <c r="E31" s="106">
        <v>100</v>
      </c>
      <c r="F31" s="106">
        <v>49.796999999999997</v>
      </c>
      <c r="G31" s="106">
        <v>30</v>
      </c>
      <c r="H31" s="106"/>
    </row>
    <row r="32" spans="1:8" ht="15.75" x14ac:dyDescent="0.25">
      <c r="A32" s="105" t="s">
        <v>178</v>
      </c>
      <c r="B32" s="106">
        <f t="shared" si="0"/>
        <v>0</v>
      </c>
      <c r="C32" s="20"/>
      <c r="D32" s="106"/>
      <c r="E32" s="106"/>
      <c r="F32" s="106"/>
      <c r="G32" s="106"/>
      <c r="H32" s="106"/>
    </row>
    <row r="33" spans="1:8" ht="15.75" x14ac:dyDescent="0.25">
      <c r="A33" s="105" t="s">
        <v>70</v>
      </c>
      <c r="B33" s="106">
        <f t="shared" si="0"/>
        <v>914.36500000000001</v>
      </c>
      <c r="C33" s="20">
        <v>725</v>
      </c>
      <c r="D33" s="106">
        <v>62</v>
      </c>
      <c r="E33" s="106">
        <v>80</v>
      </c>
      <c r="F33" s="106">
        <v>16.364999999999998</v>
      </c>
      <c r="G33" s="106">
        <v>21</v>
      </c>
      <c r="H33" s="106">
        <v>10</v>
      </c>
    </row>
    <row r="34" spans="1:8" ht="15.75" x14ac:dyDescent="0.25">
      <c r="A34" s="105" t="s">
        <v>179</v>
      </c>
      <c r="B34" s="106">
        <f t="shared" si="0"/>
        <v>750</v>
      </c>
      <c r="C34" s="106">
        <v>750</v>
      </c>
      <c r="D34" s="106">
        <v>0</v>
      </c>
      <c r="E34" s="106">
        <v>0</v>
      </c>
      <c r="F34" s="106">
        <v>0</v>
      </c>
      <c r="G34" s="106">
        <v>0</v>
      </c>
      <c r="H34" s="106">
        <v>0</v>
      </c>
    </row>
    <row r="35" spans="1:8" ht="15.75" x14ac:dyDescent="0.25">
      <c r="A35" s="107" t="s">
        <v>172</v>
      </c>
      <c r="B35" s="108">
        <f>SUM(C35:H35)</f>
        <v>7454.9679999999998</v>
      </c>
      <c r="C35" s="108">
        <f t="shared" ref="C35:H35" si="6">SUM(C24:C34)</f>
        <v>6605.9260000000004</v>
      </c>
      <c r="D35" s="108">
        <f t="shared" si="6"/>
        <v>210.05</v>
      </c>
      <c r="E35" s="108">
        <f t="shared" si="6"/>
        <v>362.07</v>
      </c>
      <c r="F35" s="108">
        <f t="shared" si="6"/>
        <v>99.671999999999983</v>
      </c>
      <c r="G35" s="108">
        <f t="shared" si="6"/>
        <v>146.75</v>
      </c>
      <c r="H35" s="108">
        <f t="shared" si="6"/>
        <v>30.5</v>
      </c>
    </row>
    <row r="36" spans="1:8" ht="15.75" x14ac:dyDescent="0.25">
      <c r="A36" s="105" t="s">
        <v>173</v>
      </c>
      <c r="B36" s="106">
        <f t="shared" ref="B36:H36" si="7">SUM(B35,B23,B21,B16,B14,B11)</f>
        <v>87932.917000000001</v>
      </c>
      <c r="C36" s="106">
        <f t="shared" si="7"/>
        <v>56136.510000000009</v>
      </c>
      <c r="D36" s="106">
        <f t="shared" si="7"/>
        <v>7655.8499999999995</v>
      </c>
      <c r="E36" s="106">
        <f t="shared" si="7"/>
        <v>7445.7</v>
      </c>
      <c r="F36" s="106">
        <f t="shared" si="7"/>
        <v>6106.83</v>
      </c>
      <c r="G36" s="106">
        <f t="shared" si="7"/>
        <v>5248.58</v>
      </c>
      <c r="H36" s="106">
        <f t="shared" si="7"/>
        <v>5339.4470000000001</v>
      </c>
    </row>
    <row r="37" spans="1:8" ht="15.75" x14ac:dyDescent="0.25">
      <c r="A37" s="105" t="s">
        <v>174</v>
      </c>
      <c r="B37" s="106">
        <f t="shared" ref="B37" si="8">SUM(C37:H37)</f>
        <v>41728</v>
      </c>
      <c r="C37" s="106">
        <v>33949</v>
      </c>
      <c r="D37" s="106">
        <v>3399</v>
      </c>
      <c r="E37" s="106">
        <v>1059</v>
      </c>
      <c r="F37" s="106">
        <v>728</v>
      </c>
      <c r="G37" s="106">
        <v>2160</v>
      </c>
      <c r="H37" s="106">
        <v>433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2"/>
  <sheetViews>
    <sheetView view="pageBreakPreview" topLeftCell="A2" zoomScale="60" zoomScaleNormal="100" workbookViewId="0">
      <selection activeCell="B34" sqref="B34"/>
    </sheetView>
  </sheetViews>
  <sheetFormatPr defaultRowHeight="12.75" x14ac:dyDescent="0.2"/>
  <cols>
    <col min="1" max="1" width="16.28515625" customWidth="1"/>
    <col min="2" max="3" width="13" customWidth="1"/>
    <col min="4" max="4" width="9.140625" customWidth="1"/>
    <col min="5" max="5" width="10.85546875" customWidth="1"/>
    <col min="6" max="6" width="9.140625" style="114" customWidth="1"/>
    <col min="7" max="7" width="11" customWidth="1"/>
    <col min="8" max="8" width="11.7109375" customWidth="1"/>
    <col min="9" max="9" width="11.85546875" customWidth="1"/>
    <col min="11" max="11" width="11.42578125" customWidth="1"/>
    <col min="12" max="12" width="9.5703125" customWidth="1"/>
    <col min="13" max="13" width="11.85546875" customWidth="1"/>
    <col min="14" max="14" width="10.42578125" customWidth="1"/>
    <col min="15" max="15" width="14.140625" customWidth="1"/>
    <col min="16" max="16" width="21.85546875" customWidth="1"/>
    <col min="17" max="17" width="9.7109375" style="114" bestFit="1" customWidth="1"/>
    <col min="18" max="18" width="10.5703125" customWidth="1"/>
    <col min="19" max="19" width="12.28515625" customWidth="1"/>
    <col min="20" max="20" width="11.7109375" style="114" customWidth="1"/>
    <col min="21" max="21" width="11.28515625" style="114" customWidth="1"/>
    <col min="22" max="22" width="15.7109375" customWidth="1"/>
    <col min="23" max="23" width="6.7109375" customWidth="1"/>
    <col min="24" max="24" width="14" customWidth="1"/>
    <col min="25" max="25" width="14.85546875" customWidth="1"/>
    <col min="26" max="26" width="8.5703125" customWidth="1"/>
    <col min="27" max="27" width="14" style="114" customWidth="1"/>
    <col min="28" max="28" width="11" customWidth="1"/>
    <col min="29" max="29" width="12.85546875" customWidth="1"/>
    <col min="30" max="30" width="11.5703125" customWidth="1"/>
  </cols>
  <sheetData>
    <row r="2" spans="1:30" x14ac:dyDescent="0.2">
      <c r="G2" s="171" t="s">
        <v>0</v>
      </c>
      <c r="H2" s="171"/>
    </row>
    <row r="3" spans="1:30" x14ac:dyDescent="0.2">
      <c r="D3" s="171" t="s">
        <v>204</v>
      </c>
      <c r="E3" s="171"/>
      <c r="F3" s="171"/>
      <c r="G3" s="171"/>
      <c r="H3" s="171"/>
      <c r="I3" s="171"/>
      <c r="J3" s="171"/>
      <c r="K3" s="171"/>
      <c r="L3" s="172"/>
    </row>
    <row r="6" spans="1:30" ht="127.5" x14ac:dyDescent="0.2">
      <c r="A6" s="115" t="s">
        <v>205</v>
      </c>
      <c r="B6" s="115" t="s">
        <v>206</v>
      </c>
      <c r="C6" s="115" t="s">
        <v>207</v>
      </c>
      <c r="D6" s="115" t="s">
        <v>208</v>
      </c>
      <c r="E6" s="115" t="s">
        <v>209</v>
      </c>
      <c r="F6" s="116" t="s">
        <v>210</v>
      </c>
      <c r="G6" s="115" t="s">
        <v>211</v>
      </c>
      <c r="H6" s="117" t="s">
        <v>212</v>
      </c>
      <c r="I6" s="118" t="s">
        <v>213</v>
      </c>
      <c r="J6" s="115" t="s">
        <v>214</v>
      </c>
      <c r="K6" s="115" t="s">
        <v>215</v>
      </c>
      <c r="L6" s="115" t="s">
        <v>216</v>
      </c>
      <c r="M6" s="115" t="s">
        <v>217</v>
      </c>
      <c r="N6" s="115" t="s">
        <v>218</v>
      </c>
      <c r="O6" s="115" t="s">
        <v>219</v>
      </c>
      <c r="P6" s="115" t="s">
        <v>220</v>
      </c>
      <c r="Q6" s="116" t="s">
        <v>221</v>
      </c>
      <c r="R6" s="115" t="s">
        <v>222</v>
      </c>
      <c r="S6" s="119" t="s">
        <v>223</v>
      </c>
      <c r="T6" s="116" t="s">
        <v>224</v>
      </c>
      <c r="U6" s="116" t="s">
        <v>225</v>
      </c>
      <c r="V6" s="115" t="s">
        <v>226</v>
      </c>
      <c r="W6" s="115" t="s">
        <v>227</v>
      </c>
      <c r="X6" s="115" t="s">
        <v>228</v>
      </c>
      <c r="Y6" s="115" t="s">
        <v>229</v>
      </c>
      <c r="Z6" s="120" t="s">
        <v>230</v>
      </c>
      <c r="AA6" s="121" t="s">
        <v>231</v>
      </c>
      <c r="AB6" s="121" t="s">
        <v>232</v>
      </c>
      <c r="AC6" s="121" t="s">
        <v>233</v>
      </c>
      <c r="AD6" s="122" t="s">
        <v>234</v>
      </c>
    </row>
    <row r="7" spans="1:30" x14ac:dyDescent="0.2">
      <c r="A7" s="123">
        <v>1</v>
      </c>
      <c r="B7" s="123">
        <v>2</v>
      </c>
      <c r="C7" s="123">
        <v>2</v>
      </c>
      <c r="D7" s="123">
        <v>3</v>
      </c>
      <c r="E7" s="123">
        <v>4</v>
      </c>
      <c r="F7" s="124">
        <v>5</v>
      </c>
      <c r="G7" s="123">
        <v>6</v>
      </c>
      <c r="H7" s="123">
        <v>7</v>
      </c>
      <c r="I7" s="125">
        <v>8</v>
      </c>
      <c r="J7" s="123">
        <v>9</v>
      </c>
      <c r="K7" s="123">
        <v>10</v>
      </c>
      <c r="L7" s="123">
        <v>11</v>
      </c>
      <c r="M7" s="123">
        <v>12</v>
      </c>
      <c r="N7" s="123">
        <v>13</v>
      </c>
      <c r="O7" s="123">
        <v>14</v>
      </c>
      <c r="P7" s="123">
        <v>15</v>
      </c>
      <c r="Q7" s="126">
        <v>16</v>
      </c>
      <c r="R7" s="123">
        <v>17</v>
      </c>
      <c r="S7" s="127">
        <v>18</v>
      </c>
      <c r="T7" s="126">
        <v>19</v>
      </c>
      <c r="U7" s="126">
        <v>20</v>
      </c>
      <c r="V7" s="123">
        <v>21</v>
      </c>
      <c r="W7" s="123">
        <v>22</v>
      </c>
      <c r="X7" s="123">
        <v>23</v>
      </c>
      <c r="Y7" s="123">
        <v>23</v>
      </c>
      <c r="Z7" s="123">
        <v>24</v>
      </c>
      <c r="AA7" s="128"/>
      <c r="AB7" s="128"/>
      <c r="AC7" s="128"/>
      <c r="AD7" s="129"/>
    </row>
    <row r="8" spans="1:30" ht="15.75" x14ac:dyDescent="0.25">
      <c r="A8" s="130" t="s">
        <v>18</v>
      </c>
      <c r="B8" s="131">
        <v>6664</v>
      </c>
      <c r="C8" s="132">
        <f>B8*J8</f>
        <v>7010.5280000000002</v>
      </c>
      <c r="D8" s="123"/>
      <c r="E8" s="123"/>
      <c r="F8" s="133">
        <f>ROUND(E14*C8/1000,2)</f>
        <v>6145.86</v>
      </c>
      <c r="G8" s="134">
        <v>39780</v>
      </c>
      <c r="H8" s="135">
        <f>ROUND(G8/C8*1000,2)</f>
        <v>5674.32</v>
      </c>
      <c r="I8" s="136">
        <f>ROUND(H8/H14,3)</f>
        <v>1.4259999999999999</v>
      </c>
      <c r="J8" s="137">
        <v>1.052</v>
      </c>
      <c r="K8" s="138">
        <f>ROUND(I8/J8,3)</f>
        <v>1.3560000000000001</v>
      </c>
      <c r="L8" s="123"/>
      <c r="M8" s="123"/>
      <c r="N8" s="123"/>
      <c r="O8" s="139">
        <f>N14-K8</f>
        <v>0</v>
      </c>
      <c r="P8" s="140">
        <f>ROUND(H12*C8*J8*O8,1)</f>
        <v>0</v>
      </c>
      <c r="Q8" s="141">
        <f>ROUND(M14/P14*P8,2)</f>
        <v>0</v>
      </c>
      <c r="R8" s="123"/>
      <c r="S8" s="142">
        <f>ROUND(C8*K8/1000,3)</f>
        <v>9.5060000000000002</v>
      </c>
      <c r="T8" s="133">
        <f>ROUND(R14*S8/S14,1)</f>
        <v>13632.1</v>
      </c>
      <c r="U8" s="143">
        <f t="shared" ref="U8:U13" si="0">F8+Q8+T8</f>
        <v>19777.96</v>
      </c>
      <c r="V8" s="144">
        <f>K8</f>
        <v>1.3560000000000001</v>
      </c>
      <c r="W8" s="145">
        <v>1</v>
      </c>
      <c r="X8" s="146">
        <f>(G8+U8)/C8*1000</f>
        <v>8495.5027638431784</v>
      </c>
      <c r="Y8" s="147">
        <f t="shared" ref="Y8:Y13" si="1">K8+(G8+U8-F8)/(C8/1000*J8*L$14)</f>
        <v>1.7312672197032781</v>
      </c>
      <c r="Z8" s="148">
        <v>1</v>
      </c>
      <c r="AA8" s="106">
        <v>59558.6</v>
      </c>
      <c r="AB8" s="134">
        <v>39780</v>
      </c>
      <c r="AC8" s="149">
        <f t="shared" ref="AC8:AC13" si="2">AA8-AB8-U8</f>
        <v>0.63999999999941792</v>
      </c>
      <c r="AD8" s="149">
        <f t="shared" ref="AD8:AD13" si="3">AA8-AB8</f>
        <v>19778.599999999999</v>
      </c>
    </row>
    <row r="9" spans="1:30" ht="25.5" x14ac:dyDescent="0.25">
      <c r="A9" s="130" t="s">
        <v>19</v>
      </c>
      <c r="B9" s="131">
        <v>367</v>
      </c>
      <c r="C9" s="132">
        <f t="shared" ref="C9:C13" si="4">B9*J9</f>
        <v>687.39099999999996</v>
      </c>
      <c r="D9" s="123"/>
      <c r="E9" s="123"/>
      <c r="F9" s="133">
        <v>602.62</v>
      </c>
      <c r="G9" s="134">
        <v>1518</v>
      </c>
      <c r="H9" s="150">
        <f t="shared" ref="H9:H14" si="5">ROUND(G9/C9*1000,2)</f>
        <v>2208.35</v>
      </c>
      <c r="I9" s="136">
        <f>ROUND(H9/H14,3)</f>
        <v>0.55500000000000005</v>
      </c>
      <c r="J9" s="137">
        <v>1.873</v>
      </c>
      <c r="K9" s="142">
        <f t="shared" ref="K9:K12" si="6">ROUND(I9/J9,3)</f>
        <v>0.29599999999999999</v>
      </c>
      <c r="L9" s="123"/>
      <c r="M9" s="123"/>
      <c r="N9" s="123"/>
      <c r="O9" s="139">
        <f>N14-K9</f>
        <v>1.06</v>
      </c>
      <c r="P9" s="140">
        <f>ROUND(H12*C9*J9*O9,1)</f>
        <v>7669481.9000000004</v>
      </c>
      <c r="Q9" s="141">
        <f>ROUND(M14/P14*P9,2)</f>
        <v>161.13</v>
      </c>
      <c r="R9" s="123"/>
      <c r="S9" s="142">
        <f>ROUND(C9*K9/1000,3)</f>
        <v>0.20300000000000001</v>
      </c>
      <c r="T9" s="133">
        <f>ROUND(R14*S9/S14,1)</f>
        <v>291.10000000000002</v>
      </c>
      <c r="U9" s="143">
        <f t="shared" si="0"/>
        <v>1054.8499999999999</v>
      </c>
      <c r="V9" s="144">
        <f t="shared" ref="V9:V13" si="7">K9</f>
        <v>0.29599999999999999</v>
      </c>
      <c r="W9" s="145">
        <v>3</v>
      </c>
      <c r="X9" s="146">
        <f t="shared" ref="X9:X14" si="8">(G9+U9)/C9*1000</f>
        <v>3742.9206957903143</v>
      </c>
      <c r="Y9" s="147">
        <f t="shared" si="1"/>
        <v>0.37529444301574533</v>
      </c>
      <c r="Z9" s="148">
        <v>3</v>
      </c>
      <c r="AA9" s="106">
        <v>7460.2</v>
      </c>
      <c r="AB9" s="134">
        <v>1518</v>
      </c>
      <c r="AC9" s="149">
        <f t="shared" si="2"/>
        <v>4887.3500000000004</v>
      </c>
      <c r="AD9" s="149">
        <f t="shared" si="3"/>
        <v>5942.2</v>
      </c>
    </row>
    <row r="10" spans="1:30" ht="15.75" x14ac:dyDescent="0.25">
      <c r="A10" s="130" t="s">
        <v>20</v>
      </c>
      <c r="B10" s="131">
        <v>375</v>
      </c>
      <c r="C10" s="132">
        <f t="shared" si="4"/>
        <v>1430.625</v>
      </c>
      <c r="D10" s="129"/>
      <c r="E10" s="129"/>
      <c r="F10" s="133">
        <f>ROUND(E14*C10/1000,2)</f>
        <v>1254.17</v>
      </c>
      <c r="G10" s="134">
        <v>1087</v>
      </c>
      <c r="H10" s="150">
        <f t="shared" si="5"/>
        <v>759.81</v>
      </c>
      <c r="I10" s="136">
        <f>ROUND(H10/H14,3)</f>
        <v>0.191</v>
      </c>
      <c r="J10" s="137">
        <v>3.8149999999999999</v>
      </c>
      <c r="K10" s="142">
        <f t="shared" si="6"/>
        <v>0.05</v>
      </c>
      <c r="L10" s="129"/>
      <c r="M10" s="129"/>
      <c r="N10" s="129"/>
      <c r="O10" s="142">
        <f>N14-K10</f>
        <v>1.306</v>
      </c>
      <c r="P10" s="140">
        <f>ROUND(H12*C10*J10*O10,1)</f>
        <v>40057336.700000003</v>
      </c>
      <c r="Q10" s="141">
        <f>ROUND(M14/P14*P10,2)</f>
        <v>841.59</v>
      </c>
      <c r="R10" s="129"/>
      <c r="S10" s="142">
        <f t="shared" ref="S10:S13" si="9">ROUND(C10*K10/1000,3)</f>
        <v>7.1999999999999995E-2</v>
      </c>
      <c r="T10" s="133">
        <f>ROUND(R14*S10/S14,1)</f>
        <v>103.3</v>
      </c>
      <c r="U10" s="143">
        <f t="shared" si="0"/>
        <v>2199.0600000000004</v>
      </c>
      <c r="V10" s="144">
        <f t="shared" si="7"/>
        <v>0.05</v>
      </c>
      <c r="W10" s="145">
        <v>5</v>
      </c>
      <c r="X10" s="146">
        <f t="shared" si="8"/>
        <v>2296.9401485364788</v>
      </c>
      <c r="Y10" s="147">
        <f t="shared" si="1"/>
        <v>6.9290668806081729E-2</v>
      </c>
      <c r="Z10" s="148">
        <v>5</v>
      </c>
      <c r="AA10" s="106">
        <v>7628.6</v>
      </c>
      <c r="AB10" s="134">
        <v>1087</v>
      </c>
      <c r="AC10" s="149">
        <f t="shared" si="2"/>
        <v>4342.54</v>
      </c>
      <c r="AD10" s="149">
        <f t="shared" si="3"/>
        <v>6541.6</v>
      </c>
    </row>
    <row r="11" spans="1:30" ht="15.75" x14ac:dyDescent="0.25">
      <c r="A11" s="130" t="s">
        <v>21</v>
      </c>
      <c r="B11" s="131">
        <v>157</v>
      </c>
      <c r="C11" s="132">
        <f t="shared" si="4"/>
        <v>1904.567</v>
      </c>
      <c r="D11" s="129"/>
      <c r="E11" s="129"/>
      <c r="F11" s="133">
        <f>ROUND(E14*C11/1000,2)</f>
        <v>1669.66</v>
      </c>
      <c r="G11" s="134">
        <v>751</v>
      </c>
      <c r="H11" s="151">
        <f t="shared" si="5"/>
        <v>394.32</v>
      </c>
      <c r="I11" s="136">
        <f>ROUND(H11/H14,3)</f>
        <v>9.9000000000000005E-2</v>
      </c>
      <c r="J11" s="137">
        <v>12.131</v>
      </c>
      <c r="K11" s="142">
        <f t="shared" si="6"/>
        <v>8.0000000000000002E-3</v>
      </c>
      <c r="L11" s="129"/>
      <c r="M11" s="129"/>
      <c r="N11" s="129"/>
      <c r="O11" s="142">
        <f>N14-K11</f>
        <v>1.3480000000000001</v>
      </c>
      <c r="P11" s="140">
        <f>ROUND(H12*C11*J11*O11,1)</f>
        <v>175025485.80000001</v>
      </c>
      <c r="Q11" s="141">
        <f>ROUND(M14/P14*P11,2)</f>
        <v>3677.22</v>
      </c>
      <c r="R11" s="129"/>
      <c r="S11" s="142">
        <f t="shared" si="9"/>
        <v>1.4999999999999999E-2</v>
      </c>
      <c r="T11" s="133">
        <f>ROUND(R14*S11/S14,1)</f>
        <v>21.5</v>
      </c>
      <c r="U11" s="143">
        <f t="shared" si="0"/>
        <v>5368.38</v>
      </c>
      <c r="V11" s="144">
        <f t="shared" si="7"/>
        <v>8.0000000000000002E-3</v>
      </c>
      <c r="W11" s="145">
        <v>6</v>
      </c>
      <c r="X11" s="146">
        <f t="shared" si="8"/>
        <v>3213.00327055966</v>
      </c>
      <c r="Y11" s="147">
        <f t="shared" si="1"/>
        <v>1.7979465246978375E-2</v>
      </c>
      <c r="Z11" s="148">
        <v>6</v>
      </c>
      <c r="AA11" s="106">
        <v>6181.9</v>
      </c>
      <c r="AB11" s="134">
        <v>751</v>
      </c>
      <c r="AC11" s="149">
        <f t="shared" si="2"/>
        <v>62.519999999999527</v>
      </c>
      <c r="AD11" s="149">
        <f t="shared" si="3"/>
        <v>5430.9</v>
      </c>
    </row>
    <row r="12" spans="1:30" ht="15.75" x14ac:dyDescent="0.25">
      <c r="A12" s="130" t="s">
        <v>22</v>
      </c>
      <c r="B12" s="131">
        <v>109</v>
      </c>
      <c r="C12" s="132">
        <f>B12*J12</f>
        <v>494.86</v>
      </c>
      <c r="D12" s="129"/>
      <c r="E12" s="129"/>
      <c r="F12" s="133">
        <f>ROUND(E14*C12/1000,2)</f>
        <v>433.82</v>
      </c>
      <c r="G12" s="134">
        <v>2781</v>
      </c>
      <c r="H12" s="152">
        <f t="shared" si="5"/>
        <v>5619.77</v>
      </c>
      <c r="I12" s="136">
        <f>ROUND(H12/H14,)</f>
        <v>1</v>
      </c>
      <c r="J12" s="137">
        <v>4.54</v>
      </c>
      <c r="K12" s="136">
        <f t="shared" si="6"/>
        <v>0.22</v>
      </c>
      <c r="L12" s="129"/>
      <c r="M12" s="129"/>
      <c r="N12" s="129"/>
      <c r="O12" s="136">
        <f>N14-K12</f>
        <v>1.1360000000000001</v>
      </c>
      <c r="P12" s="140">
        <f>ROUND(H12*C12*J12*O12,1)</f>
        <v>14342837.5</v>
      </c>
      <c r="Q12" s="141">
        <f>ROUND(M14/P14*P12,2)</f>
        <v>301.33999999999997</v>
      </c>
      <c r="R12" s="129"/>
      <c r="S12" s="142">
        <f t="shared" si="9"/>
        <v>0.109</v>
      </c>
      <c r="T12" s="133">
        <f>ROUND(R14*S12/S14,1)</f>
        <v>156.30000000000001</v>
      </c>
      <c r="U12" s="143">
        <f t="shared" si="0"/>
        <v>891.46</v>
      </c>
      <c r="V12" s="144">
        <f t="shared" si="7"/>
        <v>0.22</v>
      </c>
      <c r="W12" s="145">
        <v>2</v>
      </c>
      <c r="X12" s="146">
        <f t="shared" si="8"/>
        <v>7421.2100392030061</v>
      </c>
      <c r="Y12" s="147">
        <f t="shared" si="1"/>
        <v>0.29469506612476748</v>
      </c>
      <c r="Z12" s="148">
        <v>4</v>
      </c>
      <c r="AA12" s="106">
        <v>5439.2</v>
      </c>
      <c r="AB12" s="134">
        <v>2781</v>
      </c>
      <c r="AC12" s="149">
        <f t="shared" si="2"/>
        <v>1766.7399999999998</v>
      </c>
      <c r="AD12" s="149">
        <f t="shared" si="3"/>
        <v>2658.2</v>
      </c>
    </row>
    <row r="13" spans="1:30" ht="15.75" x14ac:dyDescent="0.25">
      <c r="A13" s="130" t="s">
        <v>23</v>
      </c>
      <c r="B13" s="131">
        <v>71</v>
      </c>
      <c r="C13" s="132">
        <f t="shared" si="4"/>
        <v>118.71199999999999</v>
      </c>
      <c r="D13" s="129"/>
      <c r="E13" s="129"/>
      <c r="F13" s="133">
        <f>ROUND(E14*C13/1000,2)</f>
        <v>104.07</v>
      </c>
      <c r="G13" s="134">
        <v>440</v>
      </c>
      <c r="H13" s="150">
        <f t="shared" si="5"/>
        <v>3706.45</v>
      </c>
      <c r="I13" s="136">
        <f>ROUND(H13/H14,3)</f>
        <v>0.93100000000000005</v>
      </c>
      <c r="J13" s="137">
        <v>1.6719999999999999</v>
      </c>
      <c r="K13" s="153">
        <f>ROUND(I13/J13,3)</f>
        <v>0.55700000000000005</v>
      </c>
      <c r="L13" s="129"/>
      <c r="M13" s="129"/>
      <c r="N13" s="129"/>
      <c r="O13" s="142">
        <f>N14-K13</f>
        <v>0.79900000000000004</v>
      </c>
      <c r="P13" s="140">
        <f>ROUND(H12*C13*J13*O13,1)</f>
        <v>891243.2</v>
      </c>
      <c r="Q13" s="141">
        <f>ROUND(M14/P14*P13,2)</f>
        <v>18.72</v>
      </c>
      <c r="R13" s="129"/>
      <c r="S13" s="142">
        <f t="shared" si="9"/>
        <v>6.6000000000000003E-2</v>
      </c>
      <c r="T13" s="133">
        <f>ROUND(R14*S13/S14,1)</f>
        <v>94.6</v>
      </c>
      <c r="U13" s="143">
        <f t="shared" si="0"/>
        <v>217.39</v>
      </c>
      <c r="V13" s="144">
        <f t="shared" si="7"/>
        <v>0.55700000000000005</v>
      </c>
      <c r="W13" s="145">
        <v>4</v>
      </c>
      <c r="X13" s="146">
        <f t="shared" si="8"/>
        <v>5537.6878495855526</v>
      </c>
      <c r="Y13" s="147">
        <f t="shared" si="1"/>
        <v>0.70144846049509713</v>
      </c>
      <c r="Z13" s="148">
        <v>2</v>
      </c>
      <c r="AA13" s="106">
        <v>5439.2</v>
      </c>
      <c r="AB13" s="134">
        <v>440</v>
      </c>
      <c r="AC13" s="149">
        <f t="shared" si="2"/>
        <v>4781.8099999999995</v>
      </c>
      <c r="AD13" s="149">
        <f t="shared" si="3"/>
        <v>4999.2</v>
      </c>
    </row>
    <row r="14" spans="1:30" x14ac:dyDescent="0.2">
      <c r="A14" s="123" t="s">
        <v>17</v>
      </c>
      <c r="B14" s="134">
        <f>B10+B11+B12+B13+B8+B9</f>
        <v>7743</v>
      </c>
      <c r="C14" s="154">
        <f>C10+C11+C12+C13+C8+C9</f>
        <v>11646.683000000001</v>
      </c>
      <c r="D14" s="123">
        <v>10210.200000000001</v>
      </c>
      <c r="E14" s="139">
        <f>ROUND(D14/C14*1000,4)</f>
        <v>876.66160000000002</v>
      </c>
      <c r="F14" s="155">
        <f>SUM(F8:F13)</f>
        <v>10210.199999999999</v>
      </c>
      <c r="G14" s="156">
        <f>SUM(G8:G13)</f>
        <v>46357</v>
      </c>
      <c r="H14" s="154">
        <f t="shared" si="5"/>
        <v>3980.27</v>
      </c>
      <c r="I14" s="125">
        <v>1</v>
      </c>
      <c r="J14" s="137">
        <v>1.478</v>
      </c>
      <c r="K14" s="123"/>
      <c r="L14" s="123">
        <v>19298.900000000001</v>
      </c>
      <c r="M14" s="134">
        <v>5000</v>
      </c>
      <c r="N14" s="139">
        <v>1.3560000000000001</v>
      </c>
      <c r="O14" s="123"/>
      <c r="P14" s="124">
        <f>SUM(P8:P13)</f>
        <v>237986385.09999999</v>
      </c>
      <c r="Q14" s="155">
        <f>SUM(Q8:Q13)</f>
        <v>5000</v>
      </c>
      <c r="R14" s="134">
        <f>L14-M14</f>
        <v>14298.900000000001</v>
      </c>
      <c r="S14" s="142">
        <f>SUM(S8:S13)</f>
        <v>9.9710000000000001</v>
      </c>
      <c r="T14" s="155">
        <f>T10+T11+T12+T13+T8+T9</f>
        <v>14298.900000000001</v>
      </c>
      <c r="U14" s="143">
        <f>F14+Q14+T14</f>
        <v>29509.1</v>
      </c>
      <c r="V14" s="144"/>
      <c r="W14" s="129"/>
      <c r="X14" s="146">
        <f t="shared" si="8"/>
        <v>6513.9662511635288</v>
      </c>
      <c r="Y14" s="129">
        <v>1</v>
      </c>
      <c r="Z14" s="129"/>
      <c r="AA14" s="157">
        <f>AA13+AA12+AA11+AA10+AA9+AA8</f>
        <v>91707.7</v>
      </c>
      <c r="AB14" s="143">
        <f>AB13+AB12+AB11+AB10+AB9+AB8</f>
        <v>46357</v>
      </c>
      <c r="AC14" s="143">
        <f>AC13+AC12+AC11+AC10+AC9+AC8</f>
        <v>15841.599999999999</v>
      </c>
      <c r="AD14" s="143">
        <f>AD13+AD12+AD11+AD10+AD9+AD8</f>
        <v>45350.7</v>
      </c>
    </row>
    <row r="15" spans="1:30" ht="15.75" x14ac:dyDescent="0.25">
      <c r="C15" s="158"/>
      <c r="AA15" s="159"/>
      <c r="AB15" s="160"/>
      <c r="AC15" s="160"/>
    </row>
    <row r="16" spans="1:30" x14ac:dyDescent="0.2">
      <c r="L16" s="161"/>
      <c r="U16" s="114">
        <f>Q8+T8</f>
        <v>13632.1</v>
      </c>
    </row>
    <row r="17" spans="21:21" x14ac:dyDescent="0.2">
      <c r="U17" s="114">
        <f t="shared" ref="U17:U21" si="10">Q9+T9</f>
        <v>452.23</v>
      </c>
    </row>
    <row r="18" spans="21:21" x14ac:dyDescent="0.2">
      <c r="U18" s="114">
        <f t="shared" si="10"/>
        <v>944.89</v>
      </c>
    </row>
    <row r="19" spans="21:21" x14ac:dyDescent="0.2">
      <c r="U19" s="114">
        <f t="shared" si="10"/>
        <v>3698.72</v>
      </c>
    </row>
    <row r="20" spans="21:21" x14ac:dyDescent="0.2">
      <c r="U20" s="114">
        <f t="shared" si="10"/>
        <v>457.64</v>
      </c>
    </row>
    <row r="21" spans="21:21" x14ac:dyDescent="0.2">
      <c r="U21" s="114">
        <f t="shared" si="10"/>
        <v>113.32</v>
      </c>
    </row>
    <row r="22" spans="21:21" x14ac:dyDescent="0.2">
      <c r="U22" s="114">
        <f>Q14+T14</f>
        <v>19298.900000000001</v>
      </c>
    </row>
  </sheetData>
  <mergeCells count="2">
    <mergeCell ref="G2:H2"/>
    <mergeCell ref="D3:L3"/>
  </mergeCells>
  <pageMargins left="0.70866141732283472" right="0.70866141732283472" top="0.74803149606299213" bottom="0.74803149606299213" header="0.31496062992125984" footer="0.31496062992125984"/>
  <pageSetup paperSize="9" firstPageNumber="158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view="pageBreakPreview" zoomScale="60" zoomScaleNormal="100" workbookViewId="0">
      <selection activeCell="K4" sqref="K4"/>
    </sheetView>
  </sheetViews>
  <sheetFormatPr defaultRowHeight="15.75" x14ac:dyDescent="0.25"/>
  <cols>
    <col min="1" max="1" width="25.85546875" style="2" customWidth="1"/>
    <col min="2" max="2" width="11.42578125" style="2" customWidth="1"/>
    <col min="3" max="3" width="13.140625" style="2" customWidth="1"/>
    <col min="4" max="5" width="11.85546875" style="2" customWidth="1"/>
    <col min="6" max="6" width="11" style="2" customWidth="1"/>
    <col min="7" max="7" width="13.5703125" style="2" customWidth="1"/>
    <col min="8" max="8" width="12.140625" style="2" customWidth="1"/>
    <col min="9" max="9" width="13.85546875" style="2" customWidth="1"/>
    <col min="10" max="10" width="9.28515625" style="2" bestFit="1" customWidth="1"/>
    <col min="11" max="11" width="12.140625" style="2" customWidth="1"/>
    <col min="12" max="12" width="10.5703125" style="2" customWidth="1"/>
    <col min="13" max="13" width="11.140625" style="2" customWidth="1"/>
    <col min="14" max="14" width="11.42578125" style="2" customWidth="1"/>
    <col min="15" max="15" width="12" style="2" customWidth="1"/>
    <col min="16" max="16384" width="9.140625" style="2"/>
  </cols>
  <sheetData>
    <row r="1" spans="1:16" x14ac:dyDescent="0.25">
      <c r="D1" s="2" t="s">
        <v>202</v>
      </c>
    </row>
    <row r="2" spans="1:16" ht="123" customHeight="1" x14ac:dyDescent="0.25">
      <c r="A2" s="1"/>
      <c r="B2" s="173" t="s">
        <v>54</v>
      </c>
      <c r="C2" s="174"/>
      <c r="D2" s="173" t="s">
        <v>55</v>
      </c>
      <c r="E2" s="174"/>
      <c r="F2" s="173" t="s">
        <v>56</v>
      </c>
      <c r="G2" s="174"/>
      <c r="H2" s="173" t="s">
        <v>57</v>
      </c>
      <c r="I2" s="174"/>
      <c r="J2" s="173" t="s">
        <v>58</v>
      </c>
      <c r="K2" s="174"/>
      <c r="L2" s="173" t="s">
        <v>59</v>
      </c>
      <c r="M2" s="174"/>
      <c r="N2" s="173" t="s">
        <v>47</v>
      </c>
      <c r="O2" s="174"/>
    </row>
    <row r="3" spans="1:16" ht="47.25" x14ac:dyDescent="0.25">
      <c r="A3" s="1"/>
      <c r="B3" s="15" t="s">
        <v>43</v>
      </c>
      <c r="C3" s="15" t="s">
        <v>161</v>
      </c>
      <c r="D3" s="15" t="s">
        <v>43</v>
      </c>
      <c r="E3" s="19" t="s">
        <v>119</v>
      </c>
      <c r="F3" s="15" t="s">
        <v>43</v>
      </c>
      <c r="G3" s="19" t="s">
        <v>119</v>
      </c>
      <c r="H3" s="15" t="s">
        <v>43</v>
      </c>
      <c r="I3" s="19" t="s">
        <v>119</v>
      </c>
      <c r="J3" s="15" t="s">
        <v>43</v>
      </c>
      <c r="K3" s="19" t="s">
        <v>119</v>
      </c>
      <c r="L3" s="15" t="s">
        <v>43</v>
      </c>
      <c r="M3" s="19" t="s">
        <v>119</v>
      </c>
      <c r="N3" s="15" t="s">
        <v>43</v>
      </c>
      <c r="O3" s="19" t="s">
        <v>119</v>
      </c>
      <c r="P3" s="17"/>
    </row>
    <row r="4" spans="1:16" ht="38.25" customHeight="1" x14ac:dyDescent="0.25">
      <c r="A4" s="4" t="s">
        <v>44</v>
      </c>
      <c r="B4" s="23">
        <f>ROUND(C4/O4,3)</f>
        <v>0.32200000000000001</v>
      </c>
      <c r="C4" s="103">
        <v>18964</v>
      </c>
      <c r="D4" s="3">
        <v>0.36</v>
      </c>
      <c r="E4" s="103">
        <v>20669.900000000001</v>
      </c>
      <c r="F4" s="3">
        <f>ROUND(G4/O4,3)</f>
        <v>3.6999999999999998E-2</v>
      </c>
      <c r="G4" s="103">
        <v>2187</v>
      </c>
      <c r="H4" s="3">
        <f>ROUND(I4/O4,3)</f>
        <v>0.16300000000000001</v>
      </c>
      <c r="I4" s="103">
        <v>9567.7999999999993</v>
      </c>
      <c r="J4" s="3">
        <f>ROUND(K4/O4,3)</f>
        <v>1.0999999999999999E-2</v>
      </c>
      <c r="K4" s="103">
        <v>648.9</v>
      </c>
      <c r="L4" s="3">
        <f>ROUND(M4/O4,3)</f>
        <v>0.11600000000000001</v>
      </c>
      <c r="M4" s="103">
        <v>6837.8</v>
      </c>
      <c r="N4" s="3">
        <f>B4+D4+F4+H4+J4+L4</f>
        <v>1.0090000000000001</v>
      </c>
      <c r="O4" s="103">
        <f>C4+E4+G4+I4+K4+M4</f>
        <v>58875.4</v>
      </c>
      <c r="P4" s="17"/>
    </row>
    <row r="5" spans="1:16" ht="38.25" customHeight="1" x14ac:dyDescent="0.25">
      <c r="A5" s="4" t="s">
        <v>49</v>
      </c>
      <c r="B5" s="23">
        <f t="shared" ref="B5:B9" si="0">ROUND(C5/O5,3)</f>
        <v>0.66200000000000003</v>
      </c>
      <c r="C5" s="103">
        <v>4882.1000000000004</v>
      </c>
      <c r="D5" s="3">
        <v>0.155</v>
      </c>
      <c r="E5" s="103">
        <v>1084.5999999999999</v>
      </c>
      <c r="F5" s="3">
        <f t="shared" ref="F5:F9" si="1">ROUND(G5/O5,3)</f>
        <v>4.0000000000000001E-3</v>
      </c>
      <c r="G5" s="103">
        <v>33</v>
      </c>
      <c r="H5" s="3">
        <f t="shared" ref="H5:H10" si="2">ROUND(I5/O5,3)</f>
        <v>0.11899999999999999</v>
      </c>
      <c r="I5" s="103">
        <v>874</v>
      </c>
      <c r="J5" s="3">
        <f t="shared" ref="J5:J7" si="3">ROUND(K5/O5,3)</f>
        <v>2E-3</v>
      </c>
      <c r="K5" s="103">
        <v>17.899999999999999</v>
      </c>
      <c r="L5" s="3">
        <f t="shared" ref="L5:L9" si="4">ROUND(M5/O5,3)</f>
        <v>6.5000000000000002E-2</v>
      </c>
      <c r="M5" s="103">
        <v>483</v>
      </c>
      <c r="N5" s="3">
        <f t="shared" ref="N5:O10" si="5">B5+D5+F5+H5+J5+L5</f>
        <v>1.0070000000000001</v>
      </c>
      <c r="O5" s="103">
        <f t="shared" si="5"/>
        <v>7374.6</v>
      </c>
      <c r="P5" s="17"/>
    </row>
    <row r="6" spans="1:16" ht="38.25" customHeight="1" x14ac:dyDescent="0.25">
      <c r="A6" s="4" t="s">
        <v>50</v>
      </c>
      <c r="B6" s="23">
        <v>0.63500000000000001</v>
      </c>
      <c r="C6" s="103">
        <v>4825.2</v>
      </c>
      <c r="D6" s="3">
        <f t="shared" ref="D6:D9" si="6">ROUND(E6/O6,3)</f>
        <v>0.14799999999999999</v>
      </c>
      <c r="E6" s="103">
        <v>1118.5</v>
      </c>
      <c r="F6" s="3">
        <f t="shared" si="1"/>
        <v>0.05</v>
      </c>
      <c r="G6" s="103">
        <v>380</v>
      </c>
      <c r="H6" s="3">
        <f t="shared" si="2"/>
        <v>0.124</v>
      </c>
      <c r="I6" s="103">
        <v>934.8</v>
      </c>
      <c r="J6" s="3">
        <f t="shared" si="3"/>
        <v>1E-3</v>
      </c>
      <c r="K6" s="103">
        <v>9.1</v>
      </c>
      <c r="L6" s="3">
        <f t="shared" si="4"/>
        <v>3.5999999999999997E-2</v>
      </c>
      <c r="M6" s="103">
        <v>273.5</v>
      </c>
      <c r="N6" s="3">
        <f t="shared" si="5"/>
        <v>0.99400000000000011</v>
      </c>
      <c r="O6" s="103">
        <f t="shared" si="5"/>
        <v>7541.1</v>
      </c>
    </row>
    <row r="7" spans="1:16" ht="38.25" customHeight="1" x14ac:dyDescent="0.25">
      <c r="A7" s="4" t="s">
        <v>45</v>
      </c>
      <c r="B7" s="23">
        <f t="shared" si="0"/>
        <v>0.66200000000000003</v>
      </c>
      <c r="C7" s="103">
        <v>4044.2</v>
      </c>
      <c r="D7" s="3">
        <f t="shared" si="6"/>
        <v>0.21</v>
      </c>
      <c r="E7" s="103">
        <v>1286</v>
      </c>
      <c r="F7" s="3">
        <f t="shared" si="1"/>
        <v>0</v>
      </c>
      <c r="G7" s="103">
        <v>0</v>
      </c>
      <c r="H7" s="3">
        <f t="shared" si="2"/>
        <v>0.11799999999999999</v>
      </c>
      <c r="I7" s="103">
        <v>724</v>
      </c>
      <c r="J7" s="3">
        <f t="shared" si="3"/>
        <v>0</v>
      </c>
      <c r="K7" s="103">
        <v>0</v>
      </c>
      <c r="L7" s="3">
        <f t="shared" si="4"/>
        <v>8.9999999999999993E-3</v>
      </c>
      <c r="M7" s="103">
        <v>56.8</v>
      </c>
      <c r="N7" s="3">
        <f t="shared" si="5"/>
        <v>0.999</v>
      </c>
      <c r="O7" s="103">
        <f t="shared" si="5"/>
        <v>6111</v>
      </c>
    </row>
    <row r="8" spans="1:16" ht="38.25" customHeight="1" x14ac:dyDescent="0.25">
      <c r="A8" s="4" t="s">
        <v>46</v>
      </c>
      <c r="B8" s="23">
        <f>ROUND(C8/O8,3)</f>
        <v>0.74299999999999999</v>
      </c>
      <c r="C8" s="103">
        <v>3994</v>
      </c>
      <c r="D8" s="3">
        <f t="shared" si="6"/>
        <v>0.14199999999999999</v>
      </c>
      <c r="E8" s="103">
        <v>763.3</v>
      </c>
      <c r="F8" s="3">
        <f t="shared" si="1"/>
        <v>0</v>
      </c>
      <c r="G8" s="103">
        <v>0</v>
      </c>
      <c r="H8" s="3">
        <f>ROUND(I8/O8,3)</f>
        <v>7.0000000000000007E-2</v>
      </c>
      <c r="I8" s="103">
        <v>377.7</v>
      </c>
      <c r="J8" s="3">
        <v>0</v>
      </c>
      <c r="K8" s="103">
        <v>0</v>
      </c>
      <c r="L8" s="3">
        <f t="shared" si="4"/>
        <v>4.4999999999999998E-2</v>
      </c>
      <c r="M8" s="103">
        <v>241.8</v>
      </c>
      <c r="N8" s="3">
        <f t="shared" si="5"/>
        <v>1</v>
      </c>
      <c r="O8" s="103">
        <f t="shared" si="5"/>
        <v>5376.8</v>
      </c>
    </row>
    <row r="9" spans="1:16" ht="38.25" customHeight="1" x14ac:dyDescent="0.25">
      <c r="A9" s="4" t="s">
        <v>48</v>
      </c>
      <c r="B9" s="23">
        <f t="shared" si="0"/>
        <v>0.8</v>
      </c>
      <c r="C9" s="103">
        <v>4300.7</v>
      </c>
      <c r="D9" s="3">
        <f t="shared" si="6"/>
        <v>0.13100000000000001</v>
      </c>
      <c r="E9" s="103">
        <v>705.3</v>
      </c>
      <c r="F9" s="3">
        <f t="shared" si="1"/>
        <v>0</v>
      </c>
      <c r="G9" s="103">
        <v>0</v>
      </c>
      <c r="H9" s="3">
        <f>ROUND(I9/O9,3)</f>
        <v>6.2E-2</v>
      </c>
      <c r="I9" s="103">
        <v>331.4</v>
      </c>
      <c r="J9" s="3">
        <v>0</v>
      </c>
      <c r="K9" s="103">
        <v>0</v>
      </c>
      <c r="L9" s="3">
        <f t="shared" si="4"/>
        <v>7.0000000000000001E-3</v>
      </c>
      <c r="M9" s="103">
        <v>39.6</v>
      </c>
      <c r="N9" s="3">
        <f t="shared" si="5"/>
        <v>1</v>
      </c>
      <c r="O9" s="103">
        <f t="shared" si="5"/>
        <v>5377</v>
      </c>
    </row>
    <row r="10" spans="1:16" ht="33" customHeight="1" x14ac:dyDescent="0.25">
      <c r="A10" s="1" t="s">
        <v>47</v>
      </c>
      <c r="B10" s="23">
        <f>ROUND(C10/O10,3)</f>
        <v>0.45200000000000001</v>
      </c>
      <c r="C10" s="103">
        <f>SUM(C4:C9)</f>
        <v>41010.199999999997</v>
      </c>
      <c r="D10" s="3">
        <f>ROUND(E10/O10,3)</f>
        <v>0.28299999999999997</v>
      </c>
      <c r="E10" s="103">
        <f>SUM(E4:E9)</f>
        <v>25627.599999999999</v>
      </c>
      <c r="F10" s="3">
        <f>ROUND(G10/O10,3)</f>
        <v>2.9000000000000001E-2</v>
      </c>
      <c r="G10" s="103">
        <f>SUM(G4:G9)</f>
        <v>2600</v>
      </c>
      <c r="H10" s="3">
        <f t="shared" si="2"/>
        <v>0.14099999999999999</v>
      </c>
      <c r="I10" s="103">
        <f>SUM(I4:I9)</f>
        <v>12809.699999999999</v>
      </c>
      <c r="J10" s="3">
        <v>8.0000000000000002E-3</v>
      </c>
      <c r="K10" s="103">
        <f>SUM(K4:K9)</f>
        <v>675.9</v>
      </c>
      <c r="L10" s="3">
        <f>ROUND(M10/O10,3)</f>
        <v>8.7999999999999995E-2</v>
      </c>
      <c r="M10" s="103">
        <f>SUM(M4:M9)</f>
        <v>7932.5000000000009</v>
      </c>
      <c r="N10" s="3">
        <f t="shared" si="5"/>
        <v>1.0010000000000001</v>
      </c>
      <c r="O10" s="103">
        <f>SUM(O4:O9)</f>
        <v>90655.900000000009</v>
      </c>
    </row>
    <row r="11" spans="1:16" ht="16.5" customHeight="1" x14ac:dyDescent="0.25">
      <c r="A11" s="17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2"/>
    </row>
    <row r="12" spans="1:16" ht="16.5" customHeight="1" x14ac:dyDescent="0.25">
      <c r="A12" s="17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2"/>
    </row>
    <row r="14" spans="1:16" x14ac:dyDescent="0.25">
      <c r="A14" s="5"/>
    </row>
    <row r="15" spans="1:16" x14ac:dyDescent="0.25">
      <c r="A15" s="5"/>
      <c r="N15" s="16"/>
    </row>
    <row r="16" spans="1:16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5"/>
    </row>
    <row r="22" spans="1:1" x14ac:dyDescent="0.25">
      <c r="A22" s="5"/>
    </row>
    <row r="23" spans="1:1" x14ac:dyDescent="0.25">
      <c r="A23" s="5"/>
    </row>
    <row r="24" spans="1:1" x14ac:dyDescent="0.25">
      <c r="A24" s="5"/>
    </row>
    <row r="25" spans="1:1" x14ac:dyDescent="0.25">
      <c r="A25" s="5"/>
    </row>
    <row r="26" spans="1:1" x14ac:dyDescent="0.25">
      <c r="A26" s="5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70866141732283472" right="0.70866141732283472" top="0.74803149606299213" bottom="0.74803149606299213" header="0.31496062992125984" footer="0.31496062992125984"/>
  <pageSetup paperSize="9" scale="69" firstPageNumber="161" orientation="landscape" useFirstPageNumber="1" r:id="rId1"/>
  <headerFooter>
    <oddHeader>&amp;C&amp;P</oddHeader>
  </headerFooter>
  <rowBreaks count="1" manualBreakCount="1">
    <brk id="12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B10" sqref="B10:B11"/>
    </sheetView>
  </sheetViews>
  <sheetFormatPr defaultRowHeight="18.75" x14ac:dyDescent="0.3"/>
  <cols>
    <col min="1" max="1" width="27.140625" style="8" customWidth="1"/>
    <col min="2" max="2" width="32.140625" style="8" customWidth="1"/>
    <col min="3" max="3" width="26" style="8" customWidth="1"/>
    <col min="4" max="16384" width="9.140625" style="8"/>
  </cols>
  <sheetData>
    <row r="1" spans="1:6" x14ac:dyDescent="0.3">
      <c r="A1" s="175" t="s">
        <v>181</v>
      </c>
      <c r="B1" s="176"/>
      <c r="C1" s="176"/>
      <c r="D1" s="7"/>
      <c r="E1" s="7"/>
      <c r="F1" s="7"/>
    </row>
    <row r="2" spans="1:6" x14ac:dyDescent="0.3">
      <c r="A2" s="6"/>
      <c r="B2" s="6"/>
      <c r="C2" s="6"/>
      <c r="D2" s="7"/>
      <c r="E2" s="7"/>
      <c r="F2" s="7"/>
    </row>
    <row r="3" spans="1:6" x14ac:dyDescent="0.3">
      <c r="A3" s="177" t="s">
        <v>74</v>
      </c>
      <c r="B3" s="177"/>
      <c r="C3" s="177"/>
      <c r="D3" s="178"/>
    </row>
    <row r="4" spans="1:6" ht="146.25" customHeight="1" x14ac:dyDescent="0.3">
      <c r="A4" s="9" t="s">
        <v>25</v>
      </c>
      <c r="B4" s="9" t="s">
        <v>180</v>
      </c>
      <c r="C4" s="9" t="s">
        <v>75</v>
      </c>
      <c r="D4" s="10"/>
      <c r="E4" s="11"/>
      <c r="F4" s="11"/>
    </row>
    <row r="5" spans="1:6" x14ac:dyDescent="0.3">
      <c r="A5" s="9">
        <v>1</v>
      </c>
      <c r="B5" s="9">
        <v>2</v>
      </c>
      <c r="C5" s="9">
        <v>3</v>
      </c>
      <c r="D5" s="10"/>
      <c r="E5" s="10"/>
      <c r="F5" s="10"/>
    </row>
    <row r="6" spans="1:6" ht="24" customHeight="1" x14ac:dyDescent="0.3">
      <c r="A6" s="99" t="s">
        <v>18</v>
      </c>
      <c r="B6" s="100">
        <v>3243.82</v>
      </c>
      <c r="C6" s="19">
        <f>ROUND(B6/B12,3)</f>
        <v>0.79200000000000004</v>
      </c>
      <c r="D6" s="10"/>
      <c r="E6" s="12"/>
      <c r="F6" s="10"/>
    </row>
    <row r="7" spans="1:6" ht="24" customHeight="1" x14ac:dyDescent="0.3">
      <c r="A7" s="99" t="s">
        <v>19</v>
      </c>
      <c r="B7" s="100">
        <v>5114.68</v>
      </c>
      <c r="C7" s="19">
        <f>ROUND(B7/B12,3)</f>
        <v>1.2490000000000001</v>
      </c>
      <c r="D7" s="10"/>
      <c r="E7" s="12"/>
      <c r="F7" s="10"/>
    </row>
    <row r="8" spans="1:6" ht="24" customHeight="1" x14ac:dyDescent="0.3">
      <c r="A8" s="99" t="s">
        <v>20</v>
      </c>
      <c r="B8" s="100">
        <v>6409.82</v>
      </c>
      <c r="C8" s="19">
        <f>ROUND(B8/B12,3)</f>
        <v>1.5649999999999999</v>
      </c>
      <c r="D8" s="10"/>
      <c r="E8" s="12"/>
      <c r="F8" s="10"/>
    </row>
    <row r="9" spans="1:6" ht="24" customHeight="1" x14ac:dyDescent="0.3">
      <c r="A9" s="99" t="s">
        <v>21</v>
      </c>
      <c r="B9" s="100">
        <v>14602.12</v>
      </c>
      <c r="C9" s="19">
        <f>ROUND(B9/B12,3)</f>
        <v>3.5659999999999998</v>
      </c>
      <c r="D9" s="10"/>
      <c r="E9" s="12"/>
      <c r="F9" s="10"/>
    </row>
    <row r="10" spans="1:6" ht="24" customHeight="1" x14ac:dyDescent="0.3">
      <c r="A10" s="99" t="s">
        <v>22</v>
      </c>
      <c r="B10" s="100">
        <v>4095.08</v>
      </c>
      <c r="C10" s="19">
        <f>ROUND(B10/B12,3)</f>
        <v>1</v>
      </c>
      <c r="D10" s="10"/>
      <c r="E10" s="12"/>
      <c r="F10" s="10"/>
    </row>
    <row r="11" spans="1:6" ht="24" customHeight="1" x14ac:dyDescent="0.3">
      <c r="A11" s="99" t="s">
        <v>23</v>
      </c>
      <c r="B11" s="100">
        <v>4095.08</v>
      </c>
      <c r="C11" s="19">
        <f>ROUND(B11/B12,3)</f>
        <v>1</v>
      </c>
      <c r="D11" s="10"/>
      <c r="E11" s="12"/>
      <c r="F11" s="10"/>
    </row>
    <row r="12" spans="1:6" ht="24" customHeight="1" x14ac:dyDescent="0.3">
      <c r="A12" s="101" t="s">
        <v>28</v>
      </c>
      <c r="B12" s="100">
        <v>4095.08</v>
      </c>
      <c r="C12" s="102">
        <v>1</v>
      </c>
      <c r="D12" s="13"/>
      <c r="E12" s="10"/>
      <c r="F12" s="10"/>
    </row>
    <row r="13" spans="1:6" x14ac:dyDescent="0.3">
      <c r="D13" s="14"/>
    </row>
    <row r="14" spans="1:6" x14ac:dyDescent="0.3">
      <c r="A14" s="8" t="s">
        <v>92</v>
      </c>
    </row>
    <row r="15" spans="1:6" ht="54.75" customHeight="1" x14ac:dyDescent="0.3">
      <c r="A15" s="179" t="s">
        <v>93</v>
      </c>
      <c r="B15" s="180"/>
      <c r="C15" s="180"/>
    </row>
  </sheetData>
  <mergeCells count="3">
    <mergeCell ref="A1:C1"/>
    <mergeCell ref="A3:D3"/>
    <mergeCell ref="A15:C15"/>
  </mergeCells>
  <pageMargins left="0.70866141732283472" right="0.70866141732283472" top="0.74803149606299213" bottom="0.74803149606299213" header="0.31496062992125984" footer="0.31496062992125984"/>
  <pageSetup paperSize="9" firstPageNumber="162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60" zoomScaleNormal="100" workbookViewId="0">
      <selection activeCell="N38" sqref="N38"/>
    </sheetView>
  </sheetViews>
  <sheetFormatPr defaultRowHeight="18.75" x14ac:dyDescent="0.3"/>
  <cols>
    <col min="1" max="1" width="23.7109375" style="44" customWidth="1"/>
    <col min="2" max="2" width="17.28515625" style="44" customWidth="1"/>
    <col min="3" max="3" width="19.140625" style="44" customWidth="1"/>
    <col min="4" max="4" width="20" style="44" customWidth="1"/>
    <col min="5" max="5" width="18.42578125" style="44" customWidth="1"/>
    <col min="6" max="6" width="17.7109375" style="44" customWidth="1"/>
    <col min="7" max="7" width="17" style="44" customWidth="1"/>
    <col min="8" max="8" width="25" style="44" customWidth="1"/>
    <col min="9" max="16384" width="9.140625" style="44"/>
  </cols>
  <sheetData>
    <row r="1" spans="1:8" x14ac:dyDescent="0.3">
      <c r="A1" s="182" t="s">
        <v>24</v>
      </c>
      <c r="B1" s="182"/>
      <c r="C1" s="182"/>
      <c r="D1" s="182"/>
      <c r="E1" s="182"/>
      <c r="F1" s="182"/>
      <c r="G1" s="182"/>
      <c r="H1" s="182"/>
    </row>
    <row r="2" spans="1:8" x14ac:dyDescent="0.3">
      <c r="A2" s="45"/>
      <c r="B2" s="182" t="s">
        <v>183</v>
      </c>
      <c r="C2" s="182"/>
      <c r="D2" s="182"/>
      <c r="E2" s="182"/>
      <c r="F2" s="182"/>
      <c r="G2" s="182"/>
      <c r="H2" s="45"/>
    </row>
    <row r="3" spans="1:8" x14ac:dyDescent="0.3">
      <c r="A3" s="45" t="s">
        <v>73</v>
      </c>
      <c r="B3" s="45"/>
      <c r="C3" s="45"/>
      <c r="D3" s="45"/>
      <c r="E3" s="45"/>
      <c r="F3" s="45"/>
      <c r="G3" s="45"/>
      <c r="H3" s="45"/>
    </row>
    <row r="4" spans="1:8" ht="12.75" customHeight="1" x14ac:dyDescent="0.3">
      <c r="A4" s="181" t="s">
        <v>25</v>
      </c>
      <c r="B4" s="181" t="s">
        <v>182</v>
      </c>
      <c r="C4" s="181" t="s">
        <v>26</v>
      </c>
      <c r="D4" s="181" t="s">
        <v>112</v>
      </c>
      <c r="E4" s="181" t="s">
        <v>113</v>
      </c>
      <c r="F4" s="181" t="s">
        <v>39</v>
      </c>
      <c r="G4" s="181" t="s">
        <v>114</v>
      </c>
      <c r="H4" s="181" t="s">
        <v>115</v>
      </c>
    </row>
    <row r="5" spans="1:8" ht="163.5" customHeight="1" x14ac:dyDescent="0.3">
      <c r="A5" s="181"/>
      <c r="B5" s="181"/>
      <c r="C5" s="181"/>
      <c r="D5" s="181"/>
      <c r="E5" s="181"/>
      <c r="F5" s="181"/>
      <c r="G5" s="181"/>
      <c r="H5" s="181"/>
    </row>
    <row r="6" spans="1:8" x14ac:dyDescent="0.3">
      <c r="A6" s="46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  <c r="G6" s="47">
        <v>7</v>
      </c>
      <c r="H6" s="47">
        <v>9</v>
      </c>
    </row>
    <row r="7" spans="1:8" ht="18" customHeight="1" x14ac:dyDescent="0.3">
      <c r="A7" s="48" t="s">
        <v>18</v>
      </c>
      <c r="B7" s="95">
        <v>6642</v>
      </c>
      <c r="C7" s="96">
        <f t="shared" ref="C7:C12" si="0">ROUND(B7/B$13,3)</f>
        <v>0.86199999999999999</v>
      </c>
      <c r="D7" s="52">
        <v>2.2000000000000002</v>
      </c>
      <c r="E7" s="53">
        <v>0.25</v>
      </c>
      <c r="F7" s="53">
        <f>D7+E7</f>
        <v>2.4500000000000002</v>
      </c>
      <c r="G7" s="53">
        <f>'164 коэф. на дисперстность'!E6</f>
        <v>1.0094850948509486</v>
      </c>
      <c r="H7" s="53">
        <f>F7*G7/'165 сред взв коэ на диферен з.п'!G13</f>
        <v>1.0094850948509488</v>
      </c>
    </row>
    <row r="8" spans="1:8" ht="18" customHeight="1" x14ac:dyDescent="0.3">
      <c r="A8" s="48" t="s">
        <v>19</v>
      </c>
      <c r="B8" s="95">
        <v>365</v>
      </c>
      <c r="C8" s="96">
        <f t="shared" si="0"/>
        <v>4.7E-2</v>
      </c>
      <c r="D8" s="52">
        <v>2.2000000000000002</v>
      </c>
      <c r="E8" s="53">
        <v>0.25</v>
      </c>
      <c r="F8" s="53">
        <f t="shared" ref="F8:F12" si="1">D8+E8</f>
        <v>2.4500000000000002</v>
      </c>
      <c r="G8" s="53">
        <f>'164 коэф. на дисперстность'!E7</f>
        <v>2</v>
      </c>
      <c r="H8" s="53">
        <f>F8*G8/'165 сред взв коэ на диферен з.п'!G13</f>
        <v>2.0000000000000004</v>
      </c>
    </row>
    <row r="9" spans="1:8" ht="18" customHeight="1" x14ac:dyDescent="0.3">
      <c r="A9" s="48" t="s">
        <v>20</v>
      </c>
      <c r="B9" s="95">
        <v>372</v>
      </c>
      <c r="C9" s="96">
        <f t="shared" si="0"/>
        <v>4.8000000000000001E-2</v>
      </c>
      <c r="D9" s="52">
        <v>2.2000000000000002</v>
      </c>
      <c r="E9" s="53">
        <v>0.25</v>
      </c>
      <c r="F9" s="53">
        <f t="shared" si="1"/>
        <v>2.4500000000000002</v>
      </c>
      <c r="G9" s="53">
        <f>'164 коэф. на дисперстность'!E8</f>
        <v>2</v>
      </c>
      <c r="H9" s="53">
        <f>F9*G9/'165 сред взв коэ на диферен з.п'!G13</f>
        <v>2.0000000000000004</v>
      </c>
    </row>
    <row r="10" spans="1:8" ht="18" customHeight="1" x14ac:dyDescent="0.3">
      <c r="A10" s="48" t="s">
        <v>21</v>
      </c>
      <c r="B10" s="95">
        <v>152</v>
      </c>
      <c r="C10" s="96">
        <f t="shared" si="0"/>
        <v>0.02</v>
      </c>
      <c r="D10" s="52">
        <v>2.2000000000000002</v>
      </c>
      <c r="E10" s="53">
        <v>0.25</v>
      </c>
      <c r="F10" s="53">
        <f t="shared" si="1"/>
        <v>2.4500000000000002</v>
      </c>
      <c r="G10" s="53">
        <f>'164 коэф. на дисперстность'!E9</f>
        <v>2</v>
      </c>
      <c r="H10" s="53">
        <f>F10*G10/'165 сред взв коэ на диферен з.п'!G13</f>
        <v>2.0000000000000004</v>
      </c>
    </row>
    <row r="11" spans="1:8" ht="18" customHeight="1" x14ac:dyDescent="0.3">
      <c r="A11" s="48" t="s">
        <v>22</v>
      </c>
      <c r="B11" s="95">
        <v>107</v>
      </c>
      <c r="C11" s="96">
        <f t="shared" si="0"/>
        <v>1.4E-2</v>
      </c>
      <c r="D11" s="52">
        <v>2.2000000000000002</v>
      </c>
      <c r="E11" s="53">
        <v>0.25</v>
      </c>
      <c r="F11" s="53">
        <f t="shared" si="1"/>
        <v>2.4500000000000002</v>
      </c>
      <c r="G11" s="53">
        <f>'164 коэф. на дисперстность'!E10</f>
        <v>2</v>
      </c>
      <c r="H11" s="53">
        <f>F11*G11/'165 сред взв коэ на диферен з.п'!G13</f>
        <v>2.0000000000000004</v>
      </c>
    </row>
    <row r="12" spans="1:8" ht="18" customHeight="1" x14ac:dyDescent="0.3">
      <c r="A12" s="48" t="s">
        <v>23</v>
      </c>
      <c r="B12" s="95">
        <v>68</v>
      </c>
      <c r="C12" s="96">
        <f t="shared" si="0"/>
        <v>8.9999999999999993E-3</v>
      </c>
      <c r="D12" s="52">
        <v>2.2000000000000002</v>
      </c>
      <c r="E12" s="53">
        <v>0.25</v>
      </c>
      <c r="F12" s="53">
        <f t="shared" si="1"/>
        <v>2.4500000000000002</v>
      </c>
      <c r="G12" s="53">
        <f>'164 коэф. на дисперстность'!E11</f>
        <v>2</v>
      </c>
      <c r="H12" s="53">
        <f>F12*G12/'165 сред взв коэ на диферен з.п'!G13</f>
        <v>2.0000000000000004</v>
      </c>
    </row>
    <row r="13" spans="1:8" x14ac:dyDescent="0.3">
      <c r="A13" s="49"/>
      <c r="B13" s="97">
        <f>B7+B8+B9+B10+B11+B12</f>
        <v>7706</v>
      </c>
      <c r="C13" s="98">
        <f>SUM(C7:C12)</f>
        <v>1</v>
      </c>
      <c r="D13" s="59">
        <v>2.2000000000000002</v>
      </c>
      <c r="E13" s="59">
        <v>0.25</v>
      </c>
      <c r="F13" s="53">
        <f>D13+E13</f>
        <v>2.4500000000000002</v>
      </c>
      <c r="G13" s="53">
        <f>'164 коэф. на дисперстность'!E12</f>
        <v>1.146249675577472</v>
      </c>
      <c r="H13" s="53">
        <f>F13*G13/'165 сред взв коэ на диферен з.п'!G13</f>
        <v>1.1462496755774723</v>
      </c>
    </row>
    <row r="15" spans="1:8" x14ac:dyDescent="0.3">
      <c r="B15" s="44" t="s">
        <v>72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84" firstPageNumber="163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view="pageBreakPreview" zoomScale="60" zoomScaleNormal="100" workbookViewId="0">
      <selection activeCell="H57" sqref="H57"/>
    </sheetView>
  </sheetViews>
  <sheetFormatPr defaultRowHeight="12.75" x14ac:dyDescent="0.2"/>
  <cols>
    <col min="1" max="1" width="19.28515625" style="50" customWidth="1"/>
    <col min="2" max="2" width="14.28515625" style="50" customWidth="1"/>
    <col min="3" max="3" width="23.28515625" style="50" customWidth="1"/>
    <col min="4" max="4" width="23.5703125" style="50" customWidth="1"/>
    <col min="5" max="5" width="22" style="50" customWidth="1"/>
    <col min="6" max="16384" width="9.140625" style="50"/>
  </cols>
  <sheetData>
    <row r="1" spans="1:5" ht="15.75" x14ac:dyDescent="0.25">
      <c r="A1" s="183" t="s">
        <v>24</v>
      </c>
      <c r="B1" s="183"/>
      <c r="C1" s="183"/>
      <c r="D1" s="183"/>
      <c r="E1" s="183"/>
    </row>
    <row r="2" spans="1:5" ht="15.75" x14ac:dyDescent="0.25">
      <c r="A2" s="184" t="s">
        <v>184</v>
      </c>
      <c r="B2" s="184"/>
      <c r="C2" s="184"/>
      <c r="D2" s="184"/>
      <c r="E2" s="184"/>
    </row>
    <row r="3" spans="1:5" x14ac:dyDescent="0.2">
      <c r="A3" s="185" t="s">
        <v>25</v>
      </c>
      <c r="B3" s="185" t="s">
        <v>185</v>
      </c>
      <c r="C3" s="185" t="s">
        <v>117</v>
      </c>
      <c r="D3" s="185" t="s">
        <v>118</v>
      </c>
      <c r="E3" s="185" t="s">
        <v>76</v>
      </c>
    </row>
    <row r="4" spans="1:5" ht="107.25" customHeight="1" x14ac:dyDescent="0.2">
      <c r="A4" s="185"/>
      <c r="B4" s="185"/>
      <c r="C4" s="185"/>
      <c r="D4" s="185"/>
      <c r="E4" s="185"/>
    </row>
    <row r="5" spans="1:5" ht="15.75" x14ac:dyDescent="0.25">
      <c r="A5" s="51">
        <v>1</v>
      </c>
      <c r="B5" s="52">
        <v>2</v>
      </c>
      <c r="C5" s="52">
        <v>3</v>
      </c>
      <c r="D5" s="52">
        <v>4</v>
      </c>
      <c r="E5" s="52">
        <v>5</v>
      </c>
    </row>
    <row r="6" spans="1:5" ht="19.5" customHeight="1" x14ac:dyDescent="0.25">
      <c r="A6" s="41" t="s">
        <v>18</v>
      </c>
      <c r="B6" s="95">
        <v>6642</v>
      </c>
      <c r="C6" s="51">
        <v>63</v>
      </c>
      <c r="D6" s="53">
        <f>C6/B6</f>
        <v>9.485094850948509E-3</v>
      </c>
      <c r="E6" s="54">
        <f t="shared" ref="E6:E11" si="0">D6+1</f>
        <v>1.0094850948509486</v>
      </c>
    </row>
    <row r="7" spans="1:5" ht="19.5" customHeight="1" x14ac:dyDescent="0.25">
      <c r="A7" s="41" t="s">
        <v>19</v>
      </c>
      <c r="B7" s="95">
        <v>365</v>
      </c>
      <c r="C7" s="95">
        <v>365</v>
      </c>
      <c r="D7" s="53">
        <f>C7/B7</f>
        <v>1</v>
      </c>
      <c r="E7" s="54">
        <f t="shared" si="0"/>
        <v>2</v>
      </c>
    </row>
    <row r="8" spans="1:5" ht="19.5" customHeight="1" x14ac:dyDescent="0.25">
      <c r="A8" s="41" t="s">
        <v>20</v>
      </c>
      <c r="B8" s="95">
        <v>372</v>
      </c>
      <c r="C8" s="95">
        <v>372</v>
      </c>
      <c r="D8" s="53">
        <f>C8/B8</f>
        <v>1</v>
      </c>
      <c r="E8" s="54">
        <f t="shared" si="0"/>
        <v>2</v>
      </c>
    </row>
    <row r="9" spans="1:5" ht="19.5" customHeight="1" x14ac:dyDescent="0.25">
      <c r="A9" s="41" t="s">
        <v>21</v>
      </c>
      <c r="B9" s="95">
        <v>152</v>
      </c>
      <c r="C9" s="95">
        <v>152</v>
      </c>
      <c r="D9" s="53">
        <f>C9/B9</f>
        <v>1</v>
      </c>
      <c r="E9" s="54">
        <f t="shared" si="0"/>
        <v>2</v>
      </c>
    </row>
    <row r="10" spans="1:5" ht="19.5" customHeight="1" x14ac:dyDescent="0.25">
      <c r="A10" s="41" t="s">
        <v>22</v>
      </c>
      <c r="B10" s="95">
        <v>107</v>
      </c>
      <c r="C10" s="95">
        <v>107</v>
      </c>
      <c r="D10" s="53">
        <f t="shared" ref="D10:D11" si="1">C10/B10</f>
        <v>1</v>
      </c>
      <c r="E10" s="54">
        <f t="shared" si="0"/>
        <v>2</v>
      </c>
    </row>
    <row r="11" spans="1:5" ht="19.5" customHeight="1" x14ac:dyDescent="0.25">
      <c r="A11" s="41" t="s">
        <v>23</v>
      </c>
      <c r="B11" s="95">
        <v>68</v>
      </c>
      <c r="C11" s="95">
        <v>68</v>
      </c>
      <c r="D11" s="53">
        <f t="shared" si="1"/>
        <v>1</v>
      </c>
      <c r="E11" s="54">
        <f t="shared" si="0"/>
        <v>2</v>
      </c>
    </row>
    <row r="12" spans="1:5" ht="15.75" x14ac:dyDescent="0.25">
      <c r="A12" s="55" t="s">
        <v>17</v>
      </c>
      <c r="B12" s="56">
        <f>B6+B7+B8+B9+B10+B11</f>
        <v>7706</v>
      </c>
      <c r="C12" s="57">
        <f>C6+C7+C8+C9+C10+C11</f>
        <v>1127</v>
      </c>
      <c r="D12" s="58">
        <f>C12/B12</f>
        <v>0.14624967557747209</v>
      </c>
      <c r="E12" s="59">
        <f>1+D12</f>
        <v>1.146249675577472</v>
      </c>
    </row>
    <row r="15" spans="1:5" x14ac:dyDescent="0.2">
      <c r="A15" s="60" t="s">
        <v>94</v>
      </c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87" firstPageNumber="164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view="pageBreakPreview" zoomScale="60" zoomScaleNormal="100" workbookViewId="0">
      <selection activeCell="J14" sqref="J14"/>
    </sheetView>
  </sheetViews>
  <sheetFormatPr defaultRowHeight="12.75" x14ac:dyDescent="0.2"/>
  <cols>
    <col min="1" max="1" width="23.28515625" style="50" customWidth="1"/>
    <col min="2" max="2" width="16.85546875" style="50" customWidth="1"/>
    <col min="3" max="3" width="17.7109375" style="50" customWidth="1"/>
    <col min="4" max="4" width="17" style="50" customWidth="1"/>
    <col min="5" max="5" width="23" style="50" customWidth="1"/>
    <col min="6" max="6" width="16" style="50" customWidth="1"/>
    <col min="7" max="7" width="17.85546875" style="50" customWidth="1"/>
    <col min="8" max="16384" width="9.140625" style="50"/>
  </cols>
  <sheetData>
    <row r="2" spans="1:8" ht="15.75" x14ac:dyDescent="0.2">
      <c r="A2" s="186" t="s">
        <v>32</v>
      </c>
      <c r="B2" s="186"/>
      <c r="C2" s="186"/>
      <c r="D2" s="186"/>
      <c r="E2" s="186"/>
      <c r="F2" s="186"/>
      <c r="G2" s="186"/>
      <c r="H2" s="186"/>
    </row>
    <row r="3" spans="1:8" ht="15.75" x14ac:dyDescent="0.2">
      <c r="A3" s="186" t="s">
        <v>186</v>
      </c>
      <c r="B3" s="186"/>
      <c r="C3" s="186"/>
      <c r="D3" s="186"/>
      <c r="E3" s="186"/>
      <c r="F3" s="186"/>
      <c r="G3" s="186"/>
      <c r="H3" s="186"/>
    </row>
    <row r="4" spans="1:8" ht="15.75" x14ac:dyDescent="0.2">
      <c r="A4" s="76"/>
      <c r="B4" s="76"/>
      <c r="C4" s="76"/>
      <c r="D4" s="76"/>
      <c r="E4" s="76"/>
      <c r="F4" s="76"/>
      <c r="G4" s="76"/>
      <c r="H4" s="76"/>
    </row>
    <row r="5" spans="1:8" ht="99.75" customHeight="1" x14ac:dyDescent="0.2">
      <c r="A5" s="111" t="s">
        <v>33</v>
      </c>
      <c r="B5" s="111" t="s">
        <v>187</v>
      </c>
      <c r="C5" s="111" t="s">
        <v>34</v>
      </c>
      <c r="D5" s="111" t="s">
        <v>35</v>
      </c>
      <c r="E5" s="111" t="s">
        <v>36</v>
      </c>
      <c r="F5" s="111" t="s">
        <v>37</v>
      </c>
      <c r="G5" s="111" t="s">
        <v>77</v>
      </c>
      <c r="H5" s="76"/>
    </row>
    <row r="6" spans="1:8" ht="15.75" x14ac:dyDescent="0.2">
      <c r="A6" s="78">
        <v>1</v>
      </c>
      <c r="B6" s="79">
        <v>3</v>
      </c>
      <c r="C6" s="80">
        <v>2</v>
      </c>
      <c r="D6" s="77">
        <v>5</v>
      </c>
      <c r="E6" s="77">
        <v>6</v>
      </c>
      <c r="F6" s="77">
        <v>7</v>
      </c>
      <c r="G6" s="77">
        <v>8</v>
      </c>
      <c r="H6" s="76"/>
    </row>
    <row r="7" spans="1:8" ht="15.75" x14ac:dyDescent="0.25">
      <c r="A7" s="81" t="s">
        <v>18</v>
      </c>
      <c r="B7" s="95">
        <v>6642</v>
      </c>
      <c r="C7" s="82">
        <v>2.2000000000000002</v>
      </c>
      <c r="D7" s="83">
        <v>0.25</v>
      </c>
      <c r="E7" s="84">
        <f>C7+D7</f>
        <v>2.4500000000000002</v>
      </c>
      <c r="F7" s="83">
        <f>ROUND(B7/$B$13,3)</f>
        <v>0.86199999999999999</v>
      </c>
      <c r="G7" s="83">
        <f>ROUND(E7*F7,3)</f>
        <v>2.1120000000000001</v>
      </c>
      <c r="H7" s="76"/>
    </row>
    <row r="8" spans="1:8" ht="15.75" x14ac:dyDescent="0.25">
      <c r="A8" s="81" t="s">
        <v>19</v>
      </c>
      <c r="B8" s="95">
        <v>365</v>
      </c>
      <c r="C8" s="82">
        <v>2.2000000000000002</v>
      </c>
      <c r="D8" s="83">
        <v>0.25</v>
      </c>
      <c r="E8" s="84">
        <f t="shared" ref="E8:E13" si="0">C8+D8</f>
        <v>2.4500000000000002</v>
      </c>
      <c r="F8" s="83">
        <f t="shared" ref="F8:F12" si="1">ROUND(B8/$B$13,3)</f>
        <v>4.7E-2</v>
      </c>
      <c r="G8" s="83">
        <f>ROUND(E8*F8,3)</f>
        <v>0.115</v>
      </c>
      <c r="H8" s="76"/>
    </row>
    <row r="9" spans="1:8" ht="15.75" x14ac:dyDescent="0.25">
      <c r="A9" s="81" t="s">
        <v>20</v>
      </c>
      <c r="B9" s="95">
        <v>372</v>
      </c>
      <c r="C9" s="82">
        <v>2.2000000000000002</v>
      </c>
      <c r="D9" s="83">
        <v>0.25</v>
      </c>
      <c r="E9" s="84">
        <f t="shared" si="0"/>
        <v>2.4500000000000002</v>
      </c>
      <c r="F9" s="83">
        <f t="shared" si="1"/>
        <v>4.8000000000000001E-2</v>
      </c>
      <c r="G9" s="83">
        <f t="shared" ref="G9:G12" si="2">ROUND(E9*F9,3)</f>
        <v>0.11799999999999999</v>
      </c>
      <c r="H9" s="76"/>
    </row>
    <row r="10" spans="1:8" ht="15.75" x14ac:dyDescent="0.25">
      <c r="A10" s="81" t="s">
        <v>21</v>
      </c>
      <c r="B10" s="95">
        <v>152</v>
      </c>
      <c r="C10" s="82">
        <v>2.2000000000000002</v>
      </c>
      <c r="D10" s="83">
        <v>0.25</v>
      </c>
      <c r="E10" s="84">
        <f t="shared" si="0"/>
        <v>2.4500000000000002</v>
      </c>
      <c r="F10" s="83">
        <f t="shared" si="1"/>
        <v>0.02</v>
      </c>
      <c r="G10" s="83">
        <f t="shared" si="2"/>
        <v>4.9000000000000002E-2</v>
      </c>
      <c r="H10" s="76"/>
    </row>
    <row r="11" spans="1:8" ht="15.75" x14ac:dyDescent="0.25">
      <c r="A11" s="81" t="s">
        <v>22</v>
      </c>
      <c r="B11" s="95">
        <v>107</v>
      </c>
      <c r="C11" s="82">
        <v>2.2000000000000002</v>
      </c>
      <c r="D11" s="83">
        <v>0.25</v>
      </c>
      <c r="E11" s="84">
        <f t="shared" si="0"/>
        <v>2.4500000000000002</v>
      </c>
      <c r="F11" s="83">
        <f t="shared" si="1"/>
        <v>1.4E-2</v>
      </c>
      <c r="G11" s="83">
        <f t="shared" si="2"/>
        <v>3.4000000000000002E-2</v>
      </c>
      <c r="H11" s="76"/>
    </row>
    <row r="12" spans="1:8" ht="15.75" x14ac:dyDescent="0.25">
      <c r="A12" s="81" t="s">
        <v>23</v>
      </c>
      <c r="B12" s="95">
        <v>68</v>
      </c>
      <c r="C12" s="82">
        <v>2.2000000000000002</v>
      </c>
      <c r="D12" s="83">
        <v>0.25</v>
      </c>
      <c r="E12" s="84">
        <f t="shared" si="0"/>
        <v>2.4500000000000002</v>
      </c>
      <c r="F12" s="83">
        <f t="shared" si="1"/>
        <v>8.9999999999999993E-3</v>
      </c>
      <c r="G12" s="83">
        <f t="shared" si="2"/>
        <v>2.1999999999999999E-2</v>
      </c>
      <c r="H12" s="76"/>
    </row>
    <row r="13" spans="1:8" ht="15.75" x14ac:dyDescent="0.2">
      <c r="A13" s="85" t="s">
        <v>38</v>
      </c>
      <c r="B13" s="86">
        <f>B7+B8+B9+B10+B11+B12</f>
        <v>7706</v>
      </c>
      <c r="C13" s="83">
        <v>2.2000000000000002</v>
      </c>
      <c r="D13" s="87">
        <v>0.25</v>
      </c>
      <c r="E13" s="84">
        <f t="shared" si="0"/>
        <v>2.4500000000000002</v>
      </c>
      <c r="F13" s="87">
        <f>B13/$B$13</f>
        <v>1</v>
      </c>
      <c r="G13" s="87">
        <f>SUM(G7:G12)</f>
        <v>2.4499999999999997</v>
      </c>
      <c r="H13" s="88"/>
    </row>
    <row r="15" spans="1:8" x14ac:dyDescent="0.2">
      <c r="F15" s="89"/>
    </row>
    <row r="16" spans="1:8" x14ac:dyDescent="0.2">
      <c r="A16" s="60" t="s">
        <v>95</v>
      </c>
    </row>
    <row r="18" spans="1:7" ht="27.75" customHeight="1" x14ac:dyDescent="0.2">
      <c r="A18" s="187" t="s">
        <v>96</v>
      </c>
      <c r="B18" s="188"/>
      <c r="C18" s="188"/>
      <c r="D18" s="188"/>
      <c r="E18" s="188"/>
      <c r="F18" s="188"/>
      <c r="G18" s="188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165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="60" zoomScaleNormal="100" workbookViewId="0">
      <selection activeCell="C10" sqref="C10"/>
    </sheetView>
  </sheetViews>
  <sheetFormatPr defaultRowHeight="12.75" x14ac:dyDescent="0.2"/>
  <cols>
    <col min="1" max="1" width="19.28515625" style="50" customWidth="1"/>
    <col min="2" max="2" width="18" style="50" customWidth="1"/>
    <col min="3" max="3" width="17" style="50" customWidth="1"/>
    <col min="4" max="4" width="14.7109375" style="50" customWidth="1"/>
    <col min="5" max="6" width="15.7109375" style="50" customWidth="1"/>
    <col min="7" max="7" width="17.28515625" style="50" customWidth="1"/>
    <col min="8" max="8" width="14.42578125" style="50" customWidth="1"/>
    <col min="9" max="16384" width="9.140625" style="50"/>
  </cols>
  <sheetData>
    <row r="1" spans="1:10" ht="15.75" x14ac:dyDescent="0.25">
      <c r="A1" s="167" t="s">
        <v>188</v>
      </c>
      <c r="B1" s="167"/>
      <c r="C1" s="167"/>
      <c r="D1" s="167"/>
      <c r="E1" s="167"/>
      <c r="F1" s="167"/>
      <c r="G1" s="167"/>
      <c r="H1" s="167"/>
    </row>
    <row r="2" spans="1:10" ht="15.75" x14ac:dyDescent="0.25">
      <c r="A2" s="36" t="s">
        <v>78</v>
      </c>
      <c r="B2" s="36"/>
      <c r="C2" s="36"/>
      <c r="D2" s="36"/>
      <c r="E2" s="36"/>
      <c r="F2" s="36"/>
      <c r="G2" s="36"/>
      <c r="H2" s="36"/>
    </row>
    <row r="3" spans="1:10" ht="15.75" x14ac:dyDescent="0.2">
      <c r="A3" s="185" t="s">
        <v>25</v>
      </c>
      <c r="B3" s="185" t="s">
        <v>91</v>
      </c>
      <c r="C3" s="190" t="s">
        <v>83</v>
      </c>
      <c r="D3" s="185" t="s">
        <v>80</v>
      </c>
      <c r="E3" s="190" t="s">
        <v>90</v>
      </c>
      <c r="F3" s="61"/>
      <c r="G3" s="185" t="s">
        <v>89</v>
      </c>
      <c r="H3" s="190" t="s">
        <v>79</v>
      </c>
    </row>
    <row r="4" spans="1:10" ht="95.25" customHeight="1" x14ac:dyDescent="0.2">
      <c r="A4" s="185"/>
      <c r="B4" s="185"/>
      <c r="C4" s="191"/>
      <c r="D4" s="185"/>
      <c r="E4" s="191"/>
      <c r="F4" s="62" t="s">
        <v>86</v>
      </c>
      <c r="G4" s="185"/>
      <c r="H4" s="191"/>
      <c r="I4" s="60" t="s">
        <v>81</v>
      </c>
    </row>
    <row r="5" spans="1:10" ht="15.75" x14ac:dyDescent="0.25">
      <c r="A5" s="51">
        <v>1</v>
      </c>
      <c r="B5" s="52">
        <v>2</v>
      </c>
      <c r="C5" s="52">
        <v>3</v>
      </c>
      <c r="D5" s="52">
        <v>4</v>
      </c>
      <c r="E5" s="52">
        <v>5</v>
      </c>
      <c r="F5" s="52"/>
      <c r="G5" s="52">
        <v>6</v>
      </c>
      <c r="H5" s="52">
        <v>7</v>
      </c>
    </row>
    <row r="6" spans="1:10" ht="20.25" customHeight="1" x14ac:dyDescent="0.25">
      <c r="A6" s="41" t="s">
        <v>18</v>
      </c>
      <c r="B6" s="42">
        <f>ROUND(C6/E6,3)</f>
        <v>7.5</v>
      </c>
      <c r="C6" s="63">
        <v>15</v>
      </c>
      <c r="D6" s="42">
        <f>ROUND(B6/$B$12,3)</f>
        <v>0.105</v>
      </c>
      <c r="E6" s="64">
        <v>2</v>
      </c>
      <c r="F6" s="64">
        <v>1</v>
      </c>
      <c r="G6" s="42">
        <f>E6/E12</f>
        <v>0.25</v>
      </c>
      <c r="H6" s="42">
        <f t="shared" ref="H6:H12" si="0">D6+G6</f>
        <v>0.35499999999999998</v>
      </c>
      <c r="I6" s="50">
        <f>B6/F12</f>
        <v>1.25</v>
      </c>
      <c r="J6" s="50">
        <f>B6/I6</f>
        <v>6</v>
      </c>
    </row>
    <row r="7" spans="1:10" ht="20.25" customHeight="1" x14ac:dyDescent="0.25">
      <c r="A7" s="41" t="s">
        <v>19</v>
      </c>
      <c r="B7" s="42">
        <f t="shared" ref="B7:B9" si="1">ROUND(C7/E7,3)</f>
        <v>45</v>
      </c>
      <c r="C7" s="63">
        <v>45</v>
      </c>
      <c r="D7" s="42">
        <f>B7/B12</f>
        <v>0.62827225130890052</v>
      </c>
      <c r="E7" s="64">
        <v>1</v>
      </c>
      <c r="F7" s="64">
        <v>1</v>
      </c>
      <c r="G7" s="42">
        <f>E7/E12</f>
        <v>0.125</v>
      </c>
      <c r="H7" s="42">
        <f t="shared" si="0"/>
        <v>0.75327225130890052</v>
      </c>
      <c r="I7" s="50">
        <f>B7/F12</f>
        <v>7.5</v>
      </c>
    </row>
    <row r="8" spans="1:10" ht="20.25" customHeight="1" x14ac:dyDescent="0.25">
      <c r="A8" s="41" t="s">
        <v>20</v>
      </c>
      <c r="B8" s="42">
        <v>100</v>
      </c>
      <c r="C8" s="63">
        <v>90</v>
      </c>
      <c r="D8" s="42">
        <f>ROUND(B8/$B$12,3)</f>
        <v>1.3959999999999999</v>
      </c>
      <c r="E8" s="64">
        <v>1</v>
      </c>
      <c r="F8" s="64">
        <v>1</v>
      </c>
      <c r="G8" s="42">
        <f>E8/E12</f>
        <v>0.125</v>
      </c>
      <c r="H8" s="42">
        <f t="shared" si="0"/>
        <v>1.5209999999999999</v>
      </c>
      <c r="I8" s="50">
        <f>B8/F12</f>
        <v>16.666666666666668</v>
      </c>
    </row>
    <row r="9" spans="1:10" ht="20.25" customHeight="1" x14ac:dyDescent="0.25">
      <c r="A9" s="41" t="s">
        <v>21</v>
      </c>
      <c r="B9" s="42">
        <f t="shared" si="1"/>
        <v>150</v>
      </c>
      <c r="C9" s="63">
        <v>150</v>
      </c>
      <c r="D9" s="42">
        <f>ROUND(B9/$B$12,3)</f>
        <v>2.0939999999999999</v>
      </c>
      <c r="E9" s="64">
        <v>1</v>
      </c>
      <c r="F9" s="64">
        <v>1</v>
      </c>
      <c r="G9" s="42">
        <f>E9/E12</f>
        <v>0.125</v>
      </c>
      <c r="H9" s="42">
        <f t="shared" si="0"/>
        <v>2.2189999999999999</v>
      </c>
      <c r="I9" s="50">
        <f>B9/F12</f>
        <v>25</v>
      </c>
    </row>
    <row r="10" spans="1:10" ht="20.25" customHeight="1" x14ac:dyDescent="0.25">
      <c r="A10" s="41" t="s">
        <v>22</v>
      </c>
      <c r="B10" s="42">
        <v>190</v>
      </c>
      <c r="C10" s="63">
        <v>190</v>
      </c>
      <c r="D10" s="42">
        <f>ROUND(B10/$B$12,3)</f>
        <v>2.653</v>
      </c>
      <c r="E10" s="64">
        <v>1</v>
      </c>
      <c r="F10" s="64">
        <v>1</v>
      </c>
      <c r="G10" s="42">
        <f>E10/E12</f>
        <v>0.125</v>
      </c>
      <c r="H10" s="42">
        <f t="shared" si="0"/>
        <v>2.778</v>
      </c>
      <c r="I10" s="50">
        <f>B10/F12</f>
        <v>31.666666666666668</v>
      </c>
    </row>
    <row r="11" spans="1:10" ht="20.25" customHeight="1" x14ac:dyDescent="0.25">
      <c r="A11" s="41" t="s">
        <v>23</v>
      </c>
      <c r="B11" s="42">
        <v>41.5</v>
      </c>
      <c r="C11" s="63">
        <v>83</v>
      </c>
      <c r="D11" s="42">
        <f>ROUND(B11/$B$12,3)</f>
        <v>0.57899999999999996</v>
      </c>
      <c r="E11" s="64">
        <v>2</v>
      </c>
      <c r="F11" s="64">
        <v>1</v>
      </c>
      <c r="G11" s="42">
        <f>E11/E12</f>
        <v>0.25</v>
      </c>
      <c r="H11" s="42">
        <f t="shared" si="0"/>
        <v>0.82899999999999996</v>
      </c>
      <c r="I11" s="50">
        <f>B11/F12</f>
        <v>6.916666666666667</v>
      </c>
    </row>
    <row r="12" spans="1:10" ht="20.25" customHeight="1" x14ac:dyDescent="0.25">
      <c r="A12" s="65" t="s">
        <v>31</v>
      </c>
      <c r="B12" s="42">
        <f>C12/E12</f>
        <v>71.625</v>
      </c>
      <c r="C12" s="66">
        <f>SUM(C6:C11)</f>
        <v>573</v>
      </c>
      <c r="D12" s="67">
        <v>1</v>
      </c>
      <c r="E12" s="66">
        <f>E11+E10+E9+E8+E7+E6</f>
        <v>8</v>
      </c>
      <c r="F12" s="66">
        <f>F11+F10+F9+F8+F7+F6</f>
        <v>6</v>
      </c>
      <c r="G12" s="65">
        <v>1</v>
      </c>
      <c r="H12" s="42">
        <f t="shared" si="0"/>
        <v>2</v>
      </c>
      <c r="I12" s="50">
        <f>B12/F12</f>
        <v>11.9375</v>
      </c>
    </row>
    <row r="14" spans="1:10" ht="15.75" x14ac:dyDescent="0.25">
      <c r="B14" s="36" t="s">
        <v>87</v>
      </c>
      <c r="C14" s="36"/>
      <c r="D14" s="36"/>
      <c r="E14" s="36"/>
      <c r="F14" s="36"/>
    </row>
    <row r="15" spans="1:10" ht="15.75" x14ac:dyDescent="0.25">
      <c r="B15" s="36"/>
      <c r="C15" s="36"/>
      <c r="D15" s="36"/>
      <c r="E15" s="36"/>
      <c r="F15" s="36"/>
    </row>
    <row r="16" spans="1:10" ht="15.75" customHeight="1" x14ac:dyDescent="0.25">
      <c r="A16" s="189" t="s">
        <v>84</v>
      </c>
      <c r="B16" s="188"/>
      <c r="C16" s="189" t="s">
        <v>82</v>
      </c>
      <c r="D16" s="188"/>
      <c r="E16" s="189" t="s">
        <v>85</v>
      </c>
      <c r="F16" s="189"/>
      <c r="G16" s="36" t="s">
        <v>88</v>
      </c>
    </row>
    <row r="17" spans="1:6" ht="15.75" x14ac:dyDescent="0.25">
      <c r="B17" s="36"/>
      <c r="C17" s="36"/>
      <c r="D17" s="36"/>
      <c r="E17" s="36"/>
      <c r="F17" s="36"/>
    </row>
    <row r="18" spans="1:6" ht="15.75" x14ac:dyDescent="0.25">
      <c r="A18" s="60"/>
      <c r="B18" s="36"/>
      <c r="C18" s="36" t="s">
        <v>97</v>
      </c>
      <c r="D18" s="36"/>
      <c r="E18" s="36" t="s">
        <v>98</v>
      </c>
      <c r="F18" s="36"/>
    </row>
    <row r="19" spans="1:6" ht="15.75" x14ac:dyDescent="0.25">
      <c r="B19" s="36"/>
      <c r="C19" s="36" t="s">
        <v>99</v>
      </c>
      <c r="D19" s="36"/>
      <c r="E19" s="36" t="s">
        <v>100</v>
      </c>
      <c r="F19" s="36"/>
    </row>
    <row r="20" spans="1:6" ht="15.75" x14ac:dyDescent="0.25">
      <c r="B20" s="36"/>
      <c r="C20" s="36"/>
      <c r="D20" s="36"/>
      <c r="E20" s="36"/>
      <c r="F20" s="36"/>
    </row>
    <row r="21" spans="1:6" ht="15.75" x14ac:dyDescent="0.25">
      <c r="B21" s="36"/>
      <c r="C21" s="36"/>
      <c r="D21" s="36"/>
      <c r="E21" s="36"/>
      <c r="F21" s="36"/>
    </row>
    <row r="22" spans="1:6" ht="15.75" x14ac:dyDescent="0.25">
      <c r="B22" s="36"/>
      <c r="C22" s="36"/>
      <c r="D22" s="36"/>
      <c r="E22" s="36"/>
      <c r="F22" s="36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166" orientation="landscape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workbookViewId="0">
      <selection activeCell="E12" sqref="E12"/>
    </sheetView>
  </sheetViews>
  <sheetFormatPr defaultRowHeight="12.75" x14ac:dyDescent="0.2"/>
  <cols>
    <col min="1" max="1" width="19.28515625" style="50" customWidth="1"/>
    <col min="2" max="2" width="17.85546875" style="50" customWidth="1"/>
    <col min="3" max="3" width="16.85546875" style="50" customWidth="1"/>
    <col min="4" max="4" width="15.7109375" style="50" customWidth="1"/>
    <col min="5" max="5" width="14.7109375" style="50" customWidth="1"/>
    <col min="6" max="16384" width="9.140625" style="50"/>
  </cols>
  <sheetData>
    <row r="1" spans="1:5" ht="15.75" x14ac:dyDescent="0.25">
      <c r="A1" s="167" t="s">
        <v>189</v>
      </c>
      <c r="B1" s="167"/>
      <c r="C1" s="167"/>
      <c r="D1" s="167"/>
      <c r="E1" s="167"/>
    </row>
    <row r="2" spans="1:5" ht="15.75" x14ac:dyDescent="0.25">
      <c r="A2" s="36" t="s">
        <v>116</v>
      </c>
      <c r="B2" s="36"/>
      <c r="C2" s="36"/>
      <c r="D2" s="36"/>
      <c r="E2" s="36"/>
    </row>
    <row r="3" spans="1:5" x14ac:dyDescent="0.2">
      <c r="A3" s="185" t="s">
        <v>25</v>
      </c>
      <c r="B3" s="190" t="s">
        <v>190</v>
      </c>
      <c r="C3" s="192" t="s">
        <v>191</v>
      </c>
      <c r="D3" s="190" t="s">
        <v>40</v>
      </c>
      <c r="E3" s="190" t="s">
        <v>101</v>
      </c>
    </row>
    <row r="4" spans="1:5" ht="54.75" customHeight="1" x14ac:dyDescent="0.2">
      <c r="A4" s="185"/>
      <c r="B4" s="191"/>
      <c r="C4" s="192"/>
      <c r="D4" s="191"/>
      <c r="E4" s="191"/>
    </row>
    <row r="5" spans="1:5" ht="15.75" x14ac:dyDescent="0.25">
      <c r="A5" s="51">
        <v>1</v>
      </c>
      <c r="B5" s="68">
        <v>2</v>
      </c>
      <c r="C5" s="69">
        <v>3</v>
      </c>
      <c r="D5" s="52">
        <v>4</v>
      </c>
      <c r="E5" s="52">
        <v>5</v>
      </c>
    </row>
    <row r="6" spans="1:5" ht="20.25" customHeight="1" x14ac:dyDescent="0.25">
      <c r="A6" s="41" t="s">
        <v>18</v>
      </c>
      <c r="B6" s="95">
        <v>6642</v>
      </c>
      <c r="C6" s="70"/>
      <c r="D6" s="53">
        <f>C6/B6</f>
        <v>0</v>
      </c>
      <c r="E6" s="53">
        <f>D6+1</f>
        <v>1</v>
      </c>
    </row>
    <row r="7" spans="1:5" ht="20.25" customHeight="1" x14ac:dyDescent="0.25">
      <c r="A7" s="41" t="s">
        <v>19</v>
      </c>
      <c r="B7" s="95">
        <v>365</v>
      </c>
      <c r="C7" s="70"/>
      <c r="D7" s="53">
        <f t="shared" ref="D7:D12" si="0">C7/B7</f>
        <v>0</v>
      </c>
      <c r="E7" s="53">
        <f t="shared" ref="E7:E12" si="1">D7+1</f>
        <v>1</v>
      </c>
    </row>
    <row r="8" spans="1:5" ht="20.25" customHeight="1" x14ac:dyDescent="0.25">
      <c r="A8" s="41" t="s">
        <v>20</v>
      </c>
      <c r="B8" s="95">
        <v>372</v>
      </c>
      <c r="C8" s="70"/>
      <c r="D8" s="53">
        <f t="shared" si="0"/>
        <v>0</v>
      </c>
      <c r="E8" s="53">
        <f t="shared" si="1"/>
        <v>1</v>
      </c>
    </row>
    <row r="9" spans="1:5" ht="20.25" customHeight="1" x14ac:dyDescent="0.25">
      <c r="A9" s="41" t="s">
        <v>21</v>
      </c>
      <c r="B9" s="95">
        <v>152</v>
      </c>
      <c r="C9" s="70"/>
      <c r="D9" s="53">
        <f t="shared" si="0"/>
        <v>0</v>
      </c>
      <c r="E9" s="53">
        <f t="shared" si="1"/>
        <v>1</v>
      </c>
    </row>
    <row r="10" spans="1:5" ht="20.25" customHeight="1" x14ac:dyDescent="0.25">
      <c r="A10" s="41" t="s">
        <v>22</v>
      </c>
      <c r="B10" s="95">
        <v>107</v>
      </c>
      <c r="C10" s="70"/>
      <c r="D10" s="53">
        <f t="shared" si="0"/>
        <v>0</v>
      </c>
      <c r="E10" s="53">
        <f t="shared" si="1"/>
        <v>1</v>
      </c>
    </row>
    <row r="11" spans="1:5" ht="20.25" customHeight="1" x14ac:dyDescent="0.25">
      <c r="A11" s="41" t="s">
        <v>23</v>
      </c>
      <c r="B11" s="95">
        <v>68</v>
      </c>
      <c r="C11" s="70"/>
      <c r="D11" s="53">
        <f t="shared" si="0"/>
        <v>0</v>
      </c>
      <c r="E11" s="53">
        <f t="shared" si="1"/>
        <v>1</v>
      </c>
    </row>
    <row r="12" spans="1:5" ht="16.5" thickBot="1" x14ac:dyDescent="0.3">
      <c r="A12" s="65" t="s">
        <v>31</v>
      </c>
      <c r="B12" s="112">
        <f>B6+B7+B8+B9+B10+B11</f>
        <v>7706</v>
      </c>
      <c r="C12" s="113">
        <f>SUM(C6:C11)</f>
        <v>0</v>
      </c>
      <c r="D12" s="91">
        <f t="shared" si="0"/>
        <v>0</v>
      </c>
      <c r="E12" s="91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67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156-157 индекс бюдж-ых расходов</vt:lpstr>
      <vt:lpstr>158-160 расчет дотации</vt:lpstr>
      <vt:lpstr>161 удельный вес расходов</vt:lpstr>
      <vt:lpstr>162  коэф. на удорож стои ЖКУ</vt:lpstr>
      <vt:lpstr>163 Коэф. дифферен-ии зар. пла</vt:lpstr>
      <vt:lpstr>164 коэф. на дисперстность</vt:lpstr>
      <vt:lpstr>165 сред взв коэ на диферен з.п</vt:lpstr>
      <vt:lpstr>166 коэф. транспортной доступ</vt:lpstr>
      <vt:lpstr>167 коэф урбанизации</vt:lpstr>
      <vt:lpstr>168 коэф. благоустройства</vt:lpstr>
      <vt:lpstr>169 структ жил фонда</vt:lpstr>
      <vt:lpstr>170 .коэф. концентр населения</vt:lpstr>
      <vt:lpstr>базовые расходы 2020</vt:lpstr>
      <vt:lpstr>Лист1</vt:lpstr>
      <vt:lpstr>'156-157 индекс бюдж-ых расходов'!Заголовки_для_печати</vt:lpstr>
      <vt:lpstr>'161 удельный вес расходов'!Область_печати</vt:lpstr>
      <vt:lpstr>'162  коэф. на удорож стои ЖКУ'!Область_печати</vt:lpstr>
      <vt:lpstr>'165 сред взв коэ на диферен з.п'!Область_печати</vt:lpstr>
      <vt:lpstr>'166 коэф. транспортной доступ'!Область_печати</vt:lpstr>
      <vt:lpstr>'169 структ жил фонда'!Область_печати</vt:lpstr>
      <vt:lpstr>'170 .коэф. концентр населения'!Область_печати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2021-11-01T08:57:19Z</cp:lastPrinted>
  <dcterms:created xsi:type="dcterms:W3CDTF">1996-10-08T23:32:33Z</dcterms:created>
  <dcterms:modified xsi:type="dcterms:W3CDTF">2021-11-01T08:57:24Z</dcterms:modified>
</cp:coreProperties>
</file>