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FellerMS\Desktop\Формирование бюджета 2025\Бюджет 2025 года\"/>
    </mc:Choice>
  </mc:AlternateContent>
  <bookViews>
    <workbookView xWindow="120" yWindow="210" windowWidth="26835" windowHeight="9405" firstSheet="7" activeTab="11"/>
  </bookViews>
  <sheets>
    <sheet name="Расчет распред. дотаций СП" sheetId="22" r:id="rId1"/>
    <sheet name="Удельный вес расходов" sheetId="25" r:id="rId2"/>
    <sheet name="Индекс бюджетных расходов" sheetId="1" r:id="rId3"/>
    <sheet name="Коэф. удорож. стоим. ЖКУ" sheetId="15" r:id="rId4"/>
    <sheet name="Коэф. на дисперсность" sheetId="14" r:id="rId5"/>
    <sheet name="Средневзв. коэф. по зп" sheetId="16" r:id="rId6"/>
    <sheet name="Коэф. дифференциации зп" sheetId="2" r:id="rId7"/>
    <sheet name="Коэф. трансп. доступности" sheetId="18" r:id="rId8"/>
    <sheet name="Коэф. урбанизации" sheetId="20" r:id="rId9"/>
    <sheet name="Коэф. благоустройства" sheetId="21" r:id="rId10"/>
    <sheet name="Коэф. структ. жил. фонда" sheetId="17" r:id="rId11"/>
    <sheet name="Коэф. концентр. населения" sheetId="3" r:id="rId12"/>
  </sheets>
  <definedNames>
    <definedName name="_xlnm.Print_Titles" localSheetId="2">'Индекс бюджетных расходов'!$A:$A,'Индекс бюджетных расходов'!$1:$2</definedName>
    <definedName name="_xlnm.Print_Titles" localSheetId="0">'Расчет распред. дотаций СП'!$2:$3</definedName>
    <definedName name="_xlnm.Print_Area" localSheetId="11">'Коэф. концентр. населения'!$A$1:$D$14</definedName>
    <definedName name="_xlnm.Print_Area" localSheetId="10">'Коэф. структ. жил. фонда'!$A$1:$F$19</definedName>
    <definedName name="_xlnm.Print_Area" localSheetId="7">'Коэф. трансп. доступности'!$A$1:$H$18</definedName>
    <definedName name="_xlnm.Print_Area" localSheetId="3">'Коэф. удорож. стоим. ЖКУ'!$A$1:$C$15</definedName>
    <definedName name="_xlnm.Print_Area" localSheetId="0">'Расчет распред. дотаций СП'!$A$1:$Z$23</definedName>
    <definedName name="_xlnm.Print_Area" localSheetId="5">'Средневзв. коэф. по зп'!$A$1:$G$18</definedName>
  </definedNames>
  <calcPr calcId="152511"/>
</workbook>
</file>

<file path=xl/calcChain.xml><?xml version="1.0" encoding="utf-8"?>
<calcChain xmlns="http://schemas.openxmlformats.org/spreadsheetml/2006/main">
  <c r="R10" i="1" l="1"/>
  <c r="H45" i="25"/>
  <c r="M10" i="25" s="1"/>
  <c r="G45" i="25"/>
  <c r="F45" i="25"/>
  <c r="E45" i="25"/>
  <c r="D45" i="25"/>
  <c r="C45" i="25"/>
  <c r="B44" i="25"/>
  <c r="B43" i="25"/>
  <c r="B42" i="25"/>
  <c r="B41" i="25"/>
  <c r="B40" i="25"/>
  <c r="B39" i="25"/>
  <c r="B38" i="25"/>
  <c r="B37" i="25"/>
  <c r="B36" i="25"/>
  <c r="B35" i="25"/>
  <c r="B34" i="25"/>
  <c r="B33" i="25"/>
  <c r="B32" i="25"/>
  <c r="H31" i="25"/>
  <c r="K10" i="25" s="1"/>
  <c r="G31" i="25"/>
  <c r="K9" i="25" s="1"/>
  <c r="F31" i="25"/>
  <c r="E31" i="25"/>
  <c r="D31" i="25"/>
  <c r="K6" i="25" s="1"/>
  <c r="C31" i="25"/>
  <c r="B30" i="25"/>
  <c r="H29" i="25"/>
  <c r="G29" i="25"/>
  <c r="I9" i="25" s="1"/>
  <c r="F29" i="25"/>
  <c r="I8" i="25" s="1"/>
  <c r="E29" i="25"/>
  <c r="I7" i="25" s="1"/>
  <c r="D29" i="25"/>
  <c r="I6" i="25" s="1"/>
  <c r="C29" i="25"/>
  <c r="B28" i="25"/>
  <c r="B27" i="25"/>
  <c r="B26" i="25"/>
  <c r="B25" i="25"/>
  <c r="H24" i="25"/>
  <c r="G24" i="25"/>
  <c r="G9" i="25" s="1"/>
  <c r="F24" i="25"/>
  <c r="G8" i="25" s="1"/>
  <c r="E24" i="25"/>
  <c r="G7" i="25" s="1"/>
  <c r="D24" i="25"/>
  <c r="C24" i="25"/>
  <c r="B23" i="25"/>
  <c r="H22" i="25"/>
  <c r="E10" i="25" s="1"/>
  <c r="G22" i="25"/>
  <c r="E9" i="25" s="1"/>
  <c r="F22" i="25"/>
  <c r="E8" i="25" s="1"/>
  <c r="E22" i="25"/>
  <c r="D22" i="25"/>
  <c r="E6" i="25" s="1"/>
  <c r="C22" i="25"/>
  <c r="E5" i="25" s="1"/>
  <c r="B21" i="25"/>
  <c r="B20" i="25"/>
  <c r="H19" i="25"/>
  <c r="C10" i="25" s="1"/>
  <c r="G19" i="25"/>
  <c r="C9" i="25" s="1"/>
  <c r="F19" i="25"/>
  <c r="C8" i="25" s="1"/>
  <c r="E19" i="25"/>
  <c r="D19" i="25"/>
  <c r="C6" i="25" s="1"/>
  <c r="C19" i="25"/>
  <c r="C5" i="25" s="1"/>
  <c r="B18" i="25"/>
  <c r="B17" i="25"/>
  <c r="B16" i="25"/>
  <c r="B15" i="25"/>
  <c r="B14" i="25"/>
  <c r="I10" i="25"/>
  <c r="G10" i="25"/>
  <c r="M8" i="25"/>
  <c r="K8" i="25"/>
  <c r="M7" i="25"/>
  <c r="K7" i="25"/>
  <c r="E7" i="25"/>
  <c r="C7" i="25"/>
  <c r="M6" i="25"/>
  <c r="G6" i="25"/>
  <c r="G5" i="25"/>
  <c r="B24" i="25" l="1"/>
  <c r="B31" i="25"/>
  <c r="H46" i="25"/>
  <c r="B19" i="25"/>
  <c r="G46" i="25"/>
  <c r="F46" i="25"/>
  <c r="E46" i="25"/>
  <c r="B29" i="25"/>
  <c r="G11" i="25"/>
  <c r="D46" i="25"/>
  <c r="B22" i="25"/>
  <c r="C46" i="25"/>
  <c r="C11" i="25"/>
  <c r="O6" i="25"/>
  <c r="B6" i="25" s="1"/>
  <c r="B8" i="1" s="1"/>
  <c r="O10" i="25"/>
  <c r="E11" i="25"/>
  <c r="O7" i="25"/>
  <c r="K5" i="25"/>
  <c r="O8" i="25"/>
  <c r="F8" i="25" s="1"/>
  <c r="L10" i="1" s="1"/>
  <c r="I5" i="25"/>
  <c r="M5" i="25"/>
  <c r="M9" i="25"/>
  <c r="O9" i="25" s="1"/>
  <c r="F9" i="25" s="1"/>
  <c r="L11" i="1" s="1"/>
  <c r="B45" i="25"/>
  <c r="F7" i="22"/>
  <c r="J10" i="25" l="1"/>
  <c r="R12" i="1" s="1"/>
  <c r="H10" i="25"/>
  <c r="O12" i="1" s="1"/>
  <c r="Z12" i="22"/>
  <c r="D9" i="25"/>
  <c r="G11" i="1" s="1"/>
  <c r="J9" i="25"/>
  <c r="R11" i="1" s="1"/>
  <c r="H9" i="25"/>
  <c r="O11" i="1" s="1"/>
  <c r="Z11" i="22"/>
  <c r="B8" i="25"/>
  <c r="B10" i="1" s="1"/>
  <c r="J8" i="25"/>
  <c r="Z10" i="22"/>
  <c r="J7" i="25"/>
  <c r="R9" i="1" s="1"/>
  <c r="Z9" i="22"/>
  <c r="F7" i="25"/>
  <c r="L9" i="1" s="1"/>
  <c r="L6" i="25"/>
  <c r="U8" i="1" s="1"/>
  <c r="J6" i="25"/>
  <c r="R8" i="1" s="1"/>
  <c r="Z8" i="22"/>
  <c r="B46" i="25"/>
  <c r="I11" i="25"/>
  <c r="L10" i="25"/>
  <c r="U12" i="1" s="1"/>
  <c r="D10" i="25"/>
  <c r="G12" i="1" s="1"/>
  <c r="L9" i="25"/>
  <c r="U11" i="1" s="1"/>
  <c r="K11" i="25"/>
  <c r="H6" i="25"/>
  <c r="O8" i="1" s="1"/>
  <c r="D6" i="25"/>
  <c r="F6" i="25"/>
  <c r="L8" i="1" s="1"/>
  <c r="B9" i="25"/>
  <c r="B11" i="1" s="1"/>
  <c r="F10" i="25"/>
  <c r="L12" i="1" s="1"/>
  <c r="M11" i="25"/>
  <c r="H7" i="25"/>
  <c r="O9" i="1" s="1"/>
  <c r="L7" i="25"/>
  <c r="U9" i="1" s="1"/>
  <c r="D7" i="25"/>
  <c r="G9" i="1" s="1"/>
  <c r="B10" i="25"/>
  <c r="D8" i="25"/>
  <c r="H8" i="25"/>
  <c r="O10" i="1" s="1"/>
  <c r="O5" i="25"/>
  <c r="Z7" i="22" s="1"/>
  <c r="L8" i="25"/>
  <c r="U10" i="1" s="1"/>
  <c r="B7" i="25"/>
  <c r="B9" i="1" s="1"/>
  <c r="C20" i="22"/>
  <c r="D20" i="22"/>
  <c r="E20" i="22"/>
  <c r="F20" i="22"/>
  <c r="G20" i="22"/>
  <c r="B20" i="22"/>
  <c r="N10" i="25" l="1"/>
  <c r="B12" i="1"/>
  <c r="N8" i="25"/>
  <c r="G10" i="1"/>
  <c r="N6" i="25"/>
  <c r="G8" i="1"/>
  <c r="L5" i="25"/>
  <c r="U7" i="1" s="1"/>
  <c r="O11" i="25"/>
  <c r="H11" i="25" s="1"/>
  <c r="O13" i="1" s="1"/>
  <c r="F5" i="25"/>
  <c r="L7" i="1" s="1"/>
  <c r="B5" i="25"/>
  <c r="B7" i="1" s="1"/>
  <c r="D5" i="25"/>
  <c r="G7" i="1" s="1"/>
  <c r="J5" i="25"/>
  <c r="R7" i="1" s="1"/>
  <c r="H5" i="25"/>
  <c r="O7" i="1" s="1"/>
  <c r="N7" i="25"/>
  <c r="N9" i="25"/>
  <c r="B13" i="2"/>
  <c r="L11" i="25" l="1"/>
  <c r="U13" i="1" s="1"/>
  <c r="F11" i="25"/>
  <c r="L13" i="1" s="1"/>
  <c r="D11" i="25"/>
  <c r="G13" i="1" s="1"/>
  <c r="B11" i="25"/>
  <c r="N5" i="25"/>
  <c r="J11" i="25"/>
  <c r="R13" i="1" s="1"/>
  <c r="AA9" i="22"/>
  <c r="N11" i="25" l="1"/>
  <c r="B13" i="1"/>
  <c r="AA12" i="22"/>
  <c r="AA11" i="22"/>
  <c r="AA10" i="22"/>
  <c r="AA8" i="22"/>
  <c r="AA7" i="22"/>
  <c r="F8" i="22" l="1"/>
  <c r="L13" i="22" l="1"/>
  <c r="Q13" i="22" l="1"/>
  <c r="AB7" i="22"/>
  <c r="AB12" i="22"/>
  <c r="AB8" i="22"/>
  <c r="AB11" i="22"/>
  <c r="AB10" i="22"/>
  <c r="AB9" i="22"/>
  <c r="H22" i="22"/>
  <c r="F9" i="22"/>
  <c r="AB13" i="22" l="1"/>
  <c r="G9" i="22" l="1"/>
  <c r="F12" i="22"/>
  <c r="G12" i="22" s="1"/>
  <c r="F11" i="22"/>
  <c r="G11" i="22" s="1"/>
  <c r="F10" i="22"/>
  <c r="G10" i="22" s="1"/>
  <c r="G8" i="22"/>
  <c r="G7" i="22"/>
  <c r="H19" i="22"/>
  <c r="H17" i="22"/>
  <c r="H18" i="22"/>
  <c r="H20" i="22" l="1"/>
  <c r="AA13" i="22"/>
  <c r="Z13" i="22"/>
  <c r="B13" i="22" l="1"/>
  <c r="D13" i="22" l="1"/>
  <c r="F13" i="22"/>
  <c r="G13" i="22" s="1"/>
  <c r="H7" i="22" s="1"/>
  <c r="D7" i="17"/>
  <c r="E7" i="22" l="1"/>
  <c r="E10" i="22"/>
  <c r="E9" i="22"/>
  <c r="E12" i="22"/>
  <c r="E8" i="22"/>
  <c r="H10" i="22"/>
  <c r="H9" i="22"/>
  <c r="H12" i="22"/>
  <c r="H8" i="22"/>
  <c r="H11" i="22"/>
  <c r="D10" i="14"/>
  <c r="E10" i="14" s="1"/>
  <c r="D9" i="14"/>
  <c r="E9" i="14" s="1"/>
  <c r="D6" i="14"/>
  <c r="E6" i="14" s="1"/>
  <c r="D7" i="14"/>
  <c r="E7" i="14" s="1"/>
  <c r="D8" i="14"/>
  <c r="E8" i="14" s="1"/>
  <c r="E13" i="22" l="1"/>
  <c r="S13" i="1"/>
  <c r="M13" i="1" l="1"/>
  <c r="H13" i="1"/>
  <c r="C13" i="1"/>
  <c r="P13" i="1"/>
  <c r="F12" i="21"/>
  <c r="G11" i="21" s="1"/>
  <c r="D12" i="21"/>
  <c r="E10" i="21" s="1"/>
  <c r="B12" i="21"/>
  <c r="C11" i="21" s="1"/>
  <c r="C13" i="20"/>
  <c r="B13" i="20"/>
  <c r="D12" i="20"/>
  <c r="E12" i="20" s="1"/>
  <c r="J12" i="1" s="1"/>
  <c r="D11" i="20"/>
  <c r="E11" i="20" s="1"/>
  <c r="W11" i="1" s="1"/>
  <c r="D10" i="20"/>
  <c r="E10" i="20" s="1"/>
  <c r="J10" i="1" s="1"/>
  <c r="D9" i="20"/>
  <c r="E9" i="20" s="1"/>
  <c r="W9" i="1" s="1"/>
  <c r="D8" i="20"/>
  <c r="E8" i="20" s="1"/>
  <c r="J8" i="1" s="1"/>
  <c r="D7" i="20"/>
  <c r="E7" i="20" s="1"/>
  <c r="J7" i="1" s="1"/>
  <c r="F13" i="18"/>
  <c r="B12" i="18"/>
  <c r="B11" i="18"/>
  <c r="B10" i="18"/>
  <c r="B8" i="18"/>
  <c r="B7" i="18"/>
  <c r="E11" i="21" l="1"/>
  <c r="E7" i="21"/>
  <c r="E8" i="21"/>
  <c r="E9" i="21"/>
  <c r="E6" i="21"/>
  <c r="W10" i="1"/>
  <c r="W8" i="1"/>
  <c r="W12" i="1"/>
  <c r="G6" i="21"/>
  <c r="G7" i="21"/>
  <c r="G8" i="21"/>
  <c r="G9" i="21"/>
  <c r="G10" i="21"/>
  <c r="H11" i="21"/>
  <c r="P12" i="1" s="1"/>
  <c r="J9" i="1"/>
  <c r="J11" i="1"/>
  <c r="D13" i="20"/>
  <c r="E13" i="20" s="1"/>
  <c r="W7" i="1"/>
  <c r="C8" i="21"/>
  <c r="C6" i="21"/>
  <c r="C10" i="21"/>
  <c r="H10" i="21" s="1"/>
  <c r="P11" i="1" s="1"/>
  <c r="C7" i="21"/>
  <c r="C9" i="21"/>
  <c r="I12" i="18"/>
  <c r="I11" i="18"/>
  <c r="I10" i="18"/>
  <c r="I9" i="18"/>
  <c r="I8" i="18"/>
  <c r="I7" i="18"/>
  <c r="J7" i="18" s="1"/>
  <c r="H13" i="18"/>
  <c r="E13" i="1" s="1"/>
  <c r="E13" i="18"/>
  <c r="G7" i="18" s="1"/>
  <c r="C13" i="18"/>
  <c r="B13" i="18" s="1"/>
  <c r="G10" i="18"/>
  <c r="G9" i="18"/>
  <c r="H8" i="21" l="1"/>
  <c r="P9" i="1" s="1"/>
  <c r="H7" i="21"/>
  <c r="P8" i="1" s="1"/>
  <c r="H9" i="21"/>
  <c r="P10" i="1" s="1"/>
  <c r="G11" i="18"/>
  <c r="G12" i="18"/>
  <c r="H6" i="21"/>
  <c r="P7" i="1" s="1"/>
  <c r="D7" i="18"/>
  <c r="I13" i="18"/>
  <c r="W13" i="1"/>
  <c r="J13" i="1"/>
  <c r="H7" i="18"/>
  <c r="E7" i="1" s="1"/>
  <c r="G8" i="18"/>
  <c r="D9" i="18"/>
  <c r="H9" i="18" s="1"/>
  <c r="E9" i="1" s="1"/>
  <c r="D10" i="18"/>
  <c r="H10" i="18" s="1"/>
  <c r="E10" i="1" s="1"/>
  <c r="D11" i="18"/>
  <c r="D12" i="18"/>
  <c r="D8" i="18"/>
  <c r="C13" i="17"/>
  <c r="B13" i="17"/>
  <c r="D12" i="17"/>
  <c r="D11" i="17"/>
  <c r="D10" i="17"/>
  <c r="D9" i="17"/>
  <c r="D8" i="17"/>
  <c r="E13" i="16"/>
  <c r="B13" i="16"/>
  <c r="F13" i="16" s="1"/>
  <c r="E12" i="16"/>
  <c r="E11" i="16"/>
  <c r="E10" i="16"/>
  <c r="E9" i="16"/>
  <c r="E8" i="16"/>
  <c r="E7" i="16"/>
  <c r="C11" i="15"/>
  <c r="C10" i="15"/>
  <c r="C9" i="15"/>
  <c r="C8" i="15"/>
  <c r="C7" i="15"/>
  <c r="C6" i="15"/>
  <c r="C11" i="14"/>
  <c r="B11" i="14"/>
  <c r="G12" i="2"/>
  <c r="G11" i="2"/>
  <c r="G10" i="2"/>
  <c r="G9" i="2"/>
  <c r="G8" i="2"/>
  <c r="D5" i="14"/>
  <c r="E5" i="14" l="1"/>
  <c r="G7" i="2" s="1"/>
  <c r="E13" i="17"/>
  <c r="F7" i="17" s="1"/>
  <c r="H12" i="18"/>
  <c r="E12" i="1" s="1"/>
  <c r="H11" i="18"/>
  <c r="E11" i="1" s="1"/>
  <c r="F7" i="16"/>
  <c r="G7" i="16" s="1"/>
  <c r="F8" i="16"/>
  <c r="G8" i="16" s="1"/>
  <c r="F9" i="16"/>
  <c r="G9" i="16" s="1"/>
  <c r="F10" i="16"/>
  <c r="G10" i="16" s="1"/>
  <c r="F11" i="16"/>
  <c r="G11" i="16" s="1"/>
  <c r="F12" i="16"/>
  <c r="G12" i="16" s="1"/>
  <c r="D11" i="14"/>
  <c r="E11" i="14" s="1"/>
  <c r="G13" i="2" s="1"/>
  <c r="M8" i="1"/>
  <c r="H8" i="1"/>
  <c r="C8" i="1"/>
  <c r="M7" i="1"/>
  <c r="H7" i="1"/>
  <c r="C7" i="1"/>
  <c r="M9" i="1"/>
  <c r="H9" i="1"/>
  <c r="C9" i="1"/>
  <c r="M11" i="1"/>
  <c r="H11" i="1"/>
  <c r="C11" i="1"/>
  <c r="M10" i="1"/>
  <c r="H10" i="1"/>
  <c r="C10" i="1"/>
  <c r="M12" i="1"/>
  <c r="C12" i="1"/>
  <c r="H12" i="1"/>
  <c r="H8" i="18"/>
  <c r="E8" i="1" s="1"/>
  <c r="F8" i="17" l="1"/>
  <c r="S8" i="1" s="1"/>
  <c r="G13" i="16"/>
  <c r="F11" i="17"/>
  <c r="S11" i="1" s="1"/>
  <c r="F10" i="17"/>
  <c r="S10" i="1" s="1"/>
  <c r="S7" i="1"/>
  <c r="F9" i="17"/>
  <c r="S9" i="1" s="1"/>
  <c r="F12" i="17"/>
  <c r="S12" i="1" s="1"/>
  <c r="D13" i="3" l="1"/>
  <c r="D8" i="3"/>
  <c r="N11" i="1" l="1"/>
  <c r="T11" i="1"/>
  <c r="N12" i="1"/>
  <c r="T12" i="1"/>
  <c r="V12" i="1" l="1"/>
  <c r="V7" i="1"/>
  <c r="T13" i="1"/>
  <c r="T10" i="1"/>
  <c r="T9" i="1"/>
  <c r="T8" i="1"/>
  <c r="T7" i="1"/>
  <c r="Q13" i="1"/>
  <c r="N13" i="1"/>
  <c r="N10" i="1"/>
  <c r="N9" i="1"/>
  <c r="N8" i="1"/>
  <c r="N7" i="1"/>
  <c r="F13" i="2"/>
  <c r="H13" i="2" s="1"/>
  <c r="C14" i="3"/>
  <c r="B14" i="3"/>
  <c r="D12" i="3"/>
  <c r="V11" i="1" s="1"/>
  <c r="D11" i="3"/>
  <c r="V10" i="1" s="1"/>
  <c r="D10" i="3"/>
  <c r="V9" i="1" s="1"/>
  <c r="D9" i="3"/>
  <c r="V8" i="1" s="1"/>
  <c r="Q7" i="1" l="1"/>
  <c r="D14" i="3"/>
  <c r="V13" i="1" s="1"/>
  <c r="X9" i="1"/>
  <c r="X11" i="1"/>
  <c r="X8" i="1"/>
  <c r="X12" i="1"/>
  <c r="X7" i="1"/>
  <c r="X10" i="1"/>
  <c r="C11" i="2"/>
  <c r="F12" i="2"/>
  <c r="H12" i="2" s="1"/>
  <c r="D12" i="1" s="1"/>
  <c r="F11" i="2"/>
  <c r="H11" i="2" s="1"/>
  <c r="D11" i="1" s="1"/>
  <c r="F8" i="2"/>
  <c r="H8" i="2" s="1"/>
  <c r="I8" i="1" s="1"/>
  <c r="F7" i="2"/>
  <c r="H7" i="2" s="1"/>
  <c r="D7" i="1" s="1"/>
  <c r="I12" i="1" l="1"/>
  <c r="I7" i="1"/>
  <c r="I11" i="1"/>
  <c r="D8" i="1"/>
  <c r="Q12" i="1"/>
  <c r="I13" i="1"/>
  <c r="D13" i="1"/>
  <c r="Q10" i="1"/>
  <c r="Q11" i="1"/>
  <c r="Q8" i="1"/>
  <c r="Q9" i="1"/>
  <c r="X13" i="1"/>
  <c r="F9" i="2"/>
  <c r="H9" i="2" s="1"/>
  <c r="F10" i="2"/>
  <c r="H10" i="2" s="1"/>
  <c r="C8" i="2"/>
  <c r="C10" i="2"/>
  <c r="C12" i="2"/>
  <c r="C7" i="2"/>
  <c r="C9" i="2"/>
  <c r="I10" i="1" l="1"/>
  <c r="D10" i="1"/>
  <c r="D9" i="1"/>
  <c r="I9" i="1"/>
  <c r="C13" i="2"/>
  <c r="F11" i="1" l="1"/>
  <c r="K11" i="1"/>
  <c r="F10" i="1"/>
  <c r="K10" i="1"/>
  <c r="F12" i="1"/>
  <c r="K12" i="1"/>
  <c r="K13" i="1"/>
  <c r="F13" i="1"/>
  <c r="F7" i="1"/>
  <c r="K7" i="1"/>
  <c r="F9" i="1"/>
  <c r="K9" i="1"/>
  <c r="F8" i="1"/>
  <c r="K8" i="1"/>
  <c r="Y9" i="1" l="1"/>
  <c r="Y8" i="1"/>
  <c r="I8" i="22" s="1"/>
  <c r="Y7" i="1"/>
  <c r="Y12" i="1"/>
  <c r="Y13" i="1"/>
  <c r="Y10" i="1"/>
  <c r="I10" i="22" s="1"/>
  <c r="Y11" i="1"/>
  <c r="I11" i="22" l="1"/>
  <c r="J11" i="22" s="1"/>
  <c r="R11" i="22" s="1"/>
  <c r="I9" i="22"/>
  <c r="J9" i="22" s="1"/>
  <c r="R9" i="22" s="1"/>
  <c r="I12" i="22"/>
  <c r="J12" i="22" s="1"/>
  <c r="R12" i="22" s="1"/>
  <c r="I7" i="22"/>
  <c r="J7" i="22" s="1"/>
  <c r="R7" i="22" s="1"/>
  <c r="I13" i="22"/>
  <c r="J13" i="22" s="1"/>
  <c r="U13" i="22" s="1"/>
  <c r="J8" i="22"/>
  <c r="R8" i="22" s="1"/>
  <c r="J10" i="22"/>
  <c r="R10" i="22" s="1"/>
  <c r="U7" i="22" l="1"/>
  <c r="N7" i="22"/>
  <c r="O7" i="22" s="1"/>
  <c r="U12" i="22"/>
  <c r="N12" i="22"/>
  <c r="O12" i="22" s="1"/>
  <c r="U9" i="22"/>
  <c r="N9" i="22"/>
  <c r="O9" i="22" s="1"/>
  <c r="U11" i="22"/>
  <c r="N11" i="22"/>
  <c r="O11" i="22" s="1"/>
  <c r="N8" i="22"/>
  <c r="O8" i="22" s="1"/>
  <c r="U8" i="22"/>
  <c r="U10" i="22"/>
  <c r="N10" i="22"/>
  <c r="O10" i="22" s="1"/>
  <c r="O13" i="22" l="1"/>
  <c r="R13" i="22"/>
  <c r="S7" i="22" s="1"/>
  <c r="S10" i="22" l="1"/>
  <c r="S9" i="22"/>
  <c r="S12" i="22"/>
  <c r="S8" i="22"/>
  <c r="S11" i="22"/>
  <c r="P9" i="22"/>
  <c r="P12" i="22"/>
  <c r="P8" i="22"/>
  <c r="P11" i="22"/>
  <c r="P10" i="22"/>
  <c r="T12" i="22" l="1"/>
  <c r="X12" i="22" s="1"/>
  <c r="P13" i="22"/>
  <c r="T11" i="22"/>
  <c r="W11" i="22" s="1"/>
  <c r="T10" i="22"/>
  <c r="W10" i="22" s="1"/>
  <c r="T8" i="22"/>
  <c r="AC8" i="22" s="1"/>
  <c r="S13" i="22"/>
  <c r="T9" i="22"/>
  <c r="W9" i="22" s="1"/>
  <c r="T7" i="22"/>
  <c r="AC7" i="22" s="1"/>
  <c r="W7" i="22" l="1"/>
  <c r="AC11" i="22"/>
  <c r="W12" i="22"/>
  <c r="AC12" i="22"/>
  <c r="AC10" i="22"/>
  <c r="T13" i="22"/>
  <c r="W13" i="22" s="1"/>
  <c r="X10" i="22"/>
  <c r="X8" i="22"/>
  <c r="X11" i="22"/>
  <c r="W8" i="22"/>
  <c r="X9" i="22"/>
  <c r="AC9" i="22"/>
  <c r="X7" i="22"/>
  <c r="AC13" i="22" l="1"/>
</calcChain>
</file>

<file path=xl/comments1.xml><?xml version="1.0" encoding="utf-8"?>
<comments xmlns="http://schemas.openxmlformats.org/spreadsheetml/2006/main">
  <authors>
    <author>Мария С. Феллер</author>
  </authors>
  <commentList>
    <comment ref="C3" authorId="0" shapeId="0">
      <text>
        <r>
          <rPr>
            <b/>
            <sz val="9"/>
            <color indexed="81"/>
            <rFont val="Tahoma"/>
            <family val="2"/>
            <charset val="204"/>
          </rPr>
          <t>Мария С. Феллер:</t>
        </r>
        <r>
          <rPr>
            <sz val="9"/>
            <color indexed="81"/>
            <rFont val="Tahoma"/>
            <family val="2"/>
            <charset val="204"/>
          </rPr>
          <t xml:space="preserve">
данные по письму ДФ (ИБР)</t>
        </r>
      </text>
    </comment>
  </commentList>
</comments>
</file>

<file path=xl/comments2.xml><?xml version="1.0" encoding="utf-8"?>
<comments xmlns="http://schemas.openxmlformats.org/spreadsheetml/2006/main">
  <authors>
    <author>Мария С. Феллер</author>
  </authors>
  <commentList>
    <comment ref="G4" authorId="0" shapeId="0">
      <text>
        <r>
          <rPr>
            <b/>
            <sz val="9"/>
            <color indexed="81"/>
            <rFont val="Tahoma"/>
            <family val="2"/>
            <charset val="204"/>
          </rPr>
          <t>Мария С. Феллер:</t>
        </r>
        <r>
          <rPr>
            <sz val="9"/>
            <color indexed="81"/>
            <rFont val="Tahoma"/>
            <family val="2"/>
            <charset val="204"/>
          </rPr>
          <t xml:space="preserve">
По данным Департамента транспорта</t>
        </r>
      </text>
    </comment>
  </commentList>
</comments>
</file>

<file path=xl/comments3.xml><?xml version="1.0" encoding="utf-8"?>
<comments xmlns="http://schemas.openxmlformats.org/spreadsheetml/2006/main">
  <authors>
    <author>Мария С. Феллер</author>
  </authors>
  <commentList>
    <comment ref="C6" authorId="0" shapeId="0">
      <text>
        <r>
          <rPr>
            <b/>
            <sz val="9"/>
            <color indexed="81"/>
            <rFont val="Tahoma"/>
            <family val="2"/>
            <charset val="204"/>
          </rPr>
          <t>Мария С. Феллер:</t>
        </r>
        <r>
          <rPr>
            <sz val="9"/>
            <color indexed="81"/>
            <rFont val="Tahoma"/>
            <family val="2"/>
            <charset val="204"/>
          </rPr>
          <t xml:space="preserve">
Александровское без численности населения 
Ларино, Северный без  Светлой протоки</t>
        </r>
      </text>
    </comment>
  </commentList>
</comments>
</file>

<file path=xl/sharedStrings.xml><?xml version="1.0" encoding="utf-8"?>
<sst xmlns="http://schemas.openxmlformats.org/spreadsheetml/2006/main" count="321" uniqueCount="198">
  <si>
    <t>РАСЧЕТ</t>
  </si>
  <si>
    <t>наименование
поселения</t>
  </si>
  <si>
    <t>удельный
вес расходов</t>
  </si>
  <si>
    <t>коэф-нт
удорожания
стоимости
жку</t>
  </si>
  <si>
    <t>коэф-нт
дифференциации
з/платы</t>
  </si>
  <si>
    <t>коэф-нт 
транспортной
доступности</t>
  </si>
  <si>
    <t>коэф-нт
урбанизации</t>
  </si>
  <si>
    <t>коэф-нт
благоустройства</t>
  </si>
  <si>
    <t>коэф-нт
структуры
жилого фонда</t>
  </si>
  <si>
    <t>коэф-нт 
концентрации
населения в
административном
центре поселения</t>
  </si>
  <si>
    <t>индекс
бюджетных
расходов</t>
  </si>
  <si>
    <t>ИТОГО</t>
  </si>
  <si>
    <t>Александровское</t>
  </si>
  <si>
    <t>Лукашкин Ярское</t>
  </si>
  <si>
    <t>Назинское</t>
  </si>
  <si>
    <t>Новоникольское</t>
  </si>
  <si>
    <t>Октябрьское</t>
  </si>
  <si>
    <t>Северное</t>
  </si>
  <si>
    <t>Наименование муниципальных образований</t>
  </si>
  <si>
    <t>коэффициента концентрации населения</t>
  </si>
  <si>
    <t>ВСЕГО по МР</t>
  </si>
  <si>
    <t>по МР</t>
  </si>
  <si>
    <t>Средневзвешенный коэффициент по заработной плате</t>
  </si>
  <si>
    <t>Наименование районов и городов</t>
  </si>
  <si>
    <t xml:space="preserve">25-% Надбавка к з/п за работу в сельской местности (гр.4*0,25/гр.3) </t>
  </si>
  <si>
    <t>Удельный вес в МО (гр.3/ сумм.гр.3)</t>
  </si>
  <si>
    <t>Ставка с учетом всех видов надбавок и коэффициентов (гр.4+гр.5)</t>
  </si>
  <si>
    <t>Численность населения сельских поселений, не имеющих жилого фонда в муниципальной собственности, исключается при расчете</t>
  </si>
  <si>
    <t>коэффициента структуры жилого фонда</t>
  </si>
  <si>
    <t>корректирующий
коэф-нт</t>
  </si>
  <si>
    <t>Кзпj = (Крj +  Ксевнj + Кснj) * Кдисj)/ Кдифзп</t>
  </si>
  <si>
    <t>1.2.4.</t>
  </si>
  <si>
    <t>1.2.3.</t>
  </si>
  <si>
    <r>
      <t xml:space="preserve">Итого средневзвешенный коэффициент по заработной плате (гр.6*гр.7), </t>
    </r>
    <r>
      <rPr>
        <b/>
        <sz val="12"/>
        <rFont val="Times New Roman"/>
        <family val="1"/>
        <charset val="204"/>
      </rPr>
      <t>Кдифзп</t>
    </r>
  </si>
  <si>
    <t>1.2.5.</t>
  </si>
  <si>
    <r>
      <t xml:space="preserve">Коэффициент удаленности (гр.2/гр.2ср.), </t>
    </r>
    <r>
      <rPr>
        <b/>
        <sz val="12"/>
        <rFont val="Times New Roman"/>
        <family val="1"/>
        <charset val="204"/>
      </rPr>
      <t>Кудалj</t>
    </r>
  </si>
  <si>
    <t>Удалср</t>
  </si>
  <si>
    <t>Удалj = сумма Sj / сумма Пj</t>
  </si>
  <si>
    <t>Кудалj = Удалj / Удалср</t>
  </si>
  <si>
    <t>Удалср = сумма Удалj / N</t>
  </si>
  <si>
    <r>
      <t xml:space="preserve">Количество поселений, входящих в состав района, </t>
    </r>
    <r>
      <rPr>
        <b/>
        <sz val="12"/>
        <rFont val="Times New Roman"/>
        <family val="1"/>
        <charset val="204"/>
      </rPr>
      <t>N</t>
    </r>
  </si>
  <si>
    <t>Ктдj = Кудалj + Кнаспj</t>
  </si>
  <si>
    <t>Кнаспj = Пj/П</t>
  </si>
  <si>
    <r>
      <t xml:space="preserve">Коэффициент количества населенных пунктов в поселении (гр.5/гр.5ср.), </t>
    </r>
    <r>
      <rPr>
        <b/>
        <sz val="12"/>
        <rFont val="Times New Roman"/>
        <family val="1"/>
        <charset val="204"/>
      </rPr>
      <t>Кнаспj</t>
    </r>
  </si>
  <si>
    <r>
      <t xml:space="preserve">Кол-во населенных пунктов, </t>
    </r>
    <r>
      <rPr>
        <b/>
        <sz val="12"/>
        <rFont val="Times New Roman"/>
        <family val="1"/>
        <charset val="204"/>
      </rPr>
      <t>Пj / итог  П</t>
    </r>
  </si>
  <si>
    <t xml:space="preserve"> Кжкуj =  tj / tp</t>
  </si>
  <si>
    <t xml:space="preserve"> tp - прогноз средневзвешаного тарифа на тепловую энергию по бюджетным организациям в среднем по району на очередной финансовый год</t>
  </si>
  <si>
    <t>Кдисj = 1 + Uj</t>
  </si>
  <si>
    <t>Кдифзп (сумма Крj + Ксевнj + Кснj) * Чj / Ч</t>
  </si>
  <si>
    <t>Ч- численность постоянного населения данного муниципального района на начало текущего финансового года (по данным территориального органа Федеральной службы государственной статистики по Томской области</t>
  </si>
  <si>
    <t>575/8=71,875</t>
  </si>
  <si>
    <t>71,875/6=11,979</t>
  </si>
  <si>
    <t>15/2=7,5</t>
  </si>
  <si>
    <t>7,5/1=7,5</t>
  </si>
  <si>
    <t>1.2.7.</t>
  </si>
  <si>
    <t>1.2.8.</t>
  </si>
  <si>
    <t>ПЛмжф - площадь жилого фонда на начало текущего финансового года, находящегося в муниципальной собственности в районе</t>
  </si>
  <si>
    <t>1.2.9.</t>
  </si>
  <si>
    <t>1.2.6.</t>
  </si>
  <si>
    <t>Численность населения, проживающего в населенных пунктах с численностью до 500 человек (чел.)</t>
  </si>
  <si>
    <t>Районный коэффициент, процентная надбавка за стаж работы в районах крайнего севера и приравненных к ним местностям</t>
  </si>
  <si>
    <t>Итого районный коэффициент + процентная надбавка за стаж работы в районах крайнего севера и приравненных к ним местностям, надбавка за работу в сельской местности</t>
  </si>
  <si>
    <t>1 часть 
РФФПП,
тыс. руб.</t>
  </si>
  <si>
    <t>1 часть 
РФФПП в 
расчете на 1
жителя, руб.
гр3/гр2</t>
  </si>
  <si>
    <t>2 часть
РФФПП,
тыс. руб.</t>
  </si>
  <si>
    <t>2 этап
2 части
РФФПП,
тыс. руб.
гр17*гр18/итгр18</t>
  </si>
  <si>
    <t>Базовые расходы</t>
  </si>
  <si>
    <t>Дотация на сбалансированность</t>
  </si>
  <si>
    <t>Лукашкин Яр</t>
  </si>
  <si>
    <t>Новониколькое</t>
  </si>
  <si>
    <t>Налог на доходы физических лиц</t>
  </si>
  <si>
    <t>Земельный налог</t>
  </si>
  <si>
    <t>Налог на имущество физических лиц</t>
  </si>
  <si>
    <t xml:space="preserve"> </t>
  </si>
  <si>
    <t xml:space="preserve">1.по формированию, утверждению, исполнению 
бюджета поселения и контролю за исполнением
данного бюджета </t>
  </si>
  <si>
    <t xml:space="preserve">2.по созданию условий для организации досуга </t>
  </si>
  <si>
    <t xml:space="preserve">4.по содержанию и строительству
автомобильных дорог,
организации благоустройства,
организации освещения улиц,
содержания мест захоронения </t>
  </si>
  <si>
    <t>5.по содержанию
муниципального
жилищного фонда</t>
  </si>
  <si>
    <t xml:space="preserve">6.по иным вопросам местного
значения поселений </t>
  </si>
  <si>
    <t>Всего</t>
  </si>
  <si>
    <t>удельный вес</t>
  </si>
  <si>
    <t>коэффициента удорожания стоимости ЖКУ на 2025 год</t>
  </si>
  <si>
    <t>поправочного коэффициента на дисперсность расселения населения на 2025 год</t>
  </si>
  <si>
    <t>коэффициента дифференциации заработной платы на 2025 год</t>
  </si>
  <si>
    <t>для расчета ИБР на 2025 год</t>
  </si>
  <si>
    <t>коэффициента транспортной доступности на 2025 год</t>
  </si>
  <si>
    <t>Удельный вес городского населения (гр.3/гр.2)</t>
  </si>
  <si>
    <r>
      <t xml:space="preserve">Коэффициент урбанизации (гр.4+1), </t>
    </r>
    <r>
      <rPr>
        <b/>
        <sz val="12"/>
        <rFont val="Times New Roman"/>
        <family val="1"/>
        <charset val="204"/>
      </rPr>
      <t>Куj</t>
    </r>
  </si>
  <si>
    <t>коэффициента урбанизации на 2025 год</t>
  </si>
  <si>
    <r>
      <t xml:space="preserve">Средневзвешенное расстояние до районного центра, км (гр.3/гр.5), </t>
    </r>
    <r>
      <rPr>
        <b/>
        <sz val="12"/>
        <rFont val="Times New Roman"/>
        <family val="1"/>
        <charset val="204"/>
      </rPr>
      <t>Удалj</t>
    </r>
  </si>
  <si>
    <r>
      <t xml:space="preserve">Расстояние от населенного пункта сельского поселения до районного центра, </t>
    </r>
    <r>
      <rPr>
        <b/>
        <sz val="12"/>
        <rFont val="Times New Roman"/>
        <family val="1"/>
        <charset val="204"/>
      </rPr>
      <t>Sj</t>
    </r>
  </si>
  <si>
    <t>Площадь
улично-
дорожной 
сети на
01.01.2024,
тыс.кв.м.</t>
  </si>
  <si>
    <t>Протяженность
освещенных
частей
улиц на
01.01.2024,
км.</t>
  </si>
  <si>
    <t xml:space="preserve">Протяженность
дорог в
границах
населенных
пунктов на 
01.01.2024, км.
</t>
  </si>
  <si>
    <t>Наименование
поселения</t>
  </si>
  <si>
    <r>
      <t xml:space="preserve">Коэффициент
площади
улично-
дорожной
сети, 1+(гр.2/ит.гр.2), </t>
    </r>
    <r>
      <rPr>
        <b/>
        <sz val="12"/>
        <rFont val="Times New Roman"/>
        <family val="1"/>
        <charset val="204"/>
      </rPr>
      <t>Кудсj</t>
    </r>
  </si>
  <si>
    <r>
      <t xml:space="preserve">Коэффициент
протяженности
освещенных
частей
улиц, 1+(гр.4/ит.гр.4), </t>
    </r>
    <r>
      <rPr>
        <b/>
        <sz val="12"/>
        <rFont val="Times New Roman"/>
        <family val="1"/>
        <charset val="204"/>
      </rPr>
      <t>Кудсj</t>
    </r>
  </si>
  <si>
    <r>
      <t>Коэффициент
притяженности
дорог в
границах
населенных
пунктов, 1+(гр.6/ит.гр.6),</t>
    </r>
    <r>
      <rPr>
        <b/>
        <sz val="12"/>
        <rFont val="Times New Roman"/>
        <family val="1"/>
        <charset val="204"/>
      </rPr>
      <t xml:space="preserve"> Кдорj</t>
    </r>
  </si>
  <si>
    <r>
      <t>Коэффициент 
благоустройства, гр.3*гр.5*гр.7,</t>
    </r>
    <r>
      <rPr>
        <b/>
        <sz val="12"/>
        <rFont val="Times New Roman"/>
        <family val="1"/>
        <charset val="204"/>
      </rPr>
      <t xml:space="preserve"> Кблагj </t>
    </r>
  </si>
  <si>
    <r>
      <t xml:space="preserve">Площадь жилого фонда, находящегося в муниципальной собственности, на 01.01.2024 (кв.м), </t>
    </r>
    <r>
      <rPr>
        <b/>
        <sz val="12"/>
        <rFont val="Times New Roman"/>
        <family val="1"/>
        <charset val="204"/>
      </rPr>
      <t>ПЛмжфj</t>
    </r>
  </si>
  <si>
    <t>Площадь жилого фонда, находящегося в муниципальной собственности, в расчете на 1 жителя (гр.3/гр.2)</t>
  </si>
  <si>
    <t>Численность населения на 01.01.2024 проживающего в муниципальном жилье (чел.)</t>
  </si>
  <si>
    <t>Отношение площади жилого фонда к численности поселения в среднем по району (ит.гр.3/ит.гр.2)</t>
  </si>
  <si>
    <t>Численность
населения на
01.01.2024,
чел.</t>
  </si>
  <si>
    <r>
      <t>Коэффициент
концентрации
населения в
административном
центре поселения, 1+(гр.2-гр.3)/гр.2,</t>
    </r>
    <r>
      <rPr>
        <b/>
        <sz val="12"/>
        <rFont val="Times New Roman"/>
        <family val="1"/>
        <charset val="204"/>
      </rPr>
      <t xml:space="preserve"> ККНСj</t>
    </r>
  </si>
  <si>
    <t>Численность
населения
административного
центра поселения
на 01.01.2024, чел.</t>
  </si>
  <si>
    <r>
      <t xml:space="preserve">Коэффициент на структуру жилого фонда (гр.4/ит.гр.5), </t>
    </r>
    <r>
      <rPr>
        <b/>
        <sz val="12"/>
        <rFont val="Times New Roman"/>
        <family val="1"/>
        <charset val="204"/>
      </rPr>
      <t>Кжфj</t>
    </r>
  </si>
  <si>
    <t>Численность населения на 01.01.2024 (чел.)</t>
  </si>
  <si>
    <t>Городское население на 01.01.2024 (чел)</t>
  </si>
  <si>
    <r>
      <t xml:space="preserve">Коэффициент транспортной доступности (гр.4+гр.6), </t>
    </r>
    <r>
      <rPr>
        <b/>
        <sz val="12"/>
        <rFont val="Times New Roman"/>
        <family val="1"/>
        <charset val="204"/>
      </rPr>
      <t>Ктдj</t>
    </r>
  </si>
  <si>
    <r>
      <t xml:space="preserve">Численность населения на 01.01.2024,   </t>
    </r>
    <r>
      <rPr>
        <b/>
        <sz val="12"/>
        <rFont val="Times New Roman"/>
        <family val="1"/>
        <charset val="204"/>
      </rPr>
      <t xml:space="preserve">Чj </t>
    </r>
  </si>
  <si>
    <r>
      <t xml:space="preserve">Удельный вес населения, проживающего в населенных пунктах с численностью до 500 человек (чел.) (гр.3/гр.2),  </t>
    </r>
    <r>
      <rPr>
        <b/>
        <sz val="12"/>
        <rFont val="Times New Roman"/>
        <family val="1"/>
        <charset val="204"/>
      </rPr>
      <t>Uj</t>
    </r>
  </si>
  <si>
    <r>
      <t xml:space="preserve">Поправочный коэффициент на дисперсность расселения населения  (1+гр.4), </t>
    </r>
    <r>
      <rPr>
        <b/>
        <sz val="12"/>
        <rFont val="Times New Roman"/>
        <family val="1"/>
        <charset val="204"/>
      </rPr>
      <t>Кдисj</t>
    </r>
  </si>
  <si>
    <t>Численность населения на 01.01.2024      (чел.)</t>
  </si>
  <si>
    <r>
      <t>Поправочный коэффициент на дисперсность расселения,</t>
    </r>
    <r>
      <rPr>
        <b/>
        <sz val="12"/>
        <rFont val="Times New Roman"/>
        <family val="1"/>
        <charset val="204"/>
      </rPr>
      <t xml:space="preserve"> Кдисj</t>
    </r>
  </si>
  <si>
    <r>
      <t xml:space="preserve">Коэффициент дифференциации заработной платы, </t>
    </r>
    <r>
      <rPr>
        <b/>
        <sz val="12"/>
        <rFont val="Times New Roman"/>
        <family val="1"/>
        <charset val="204"/>
      </rPr>
      <t>Кзп</t>
    </r>
    <r>
      <rPr>
        <sz val="12"/>
        <rFont val="Times New Roman"/>
        <family val="1"/>
        <charset val="204"/>
      </rPr>
      <t xml:space="preserve">j </t>
    </r>
  </si>
  <si>
    <r>
      <t>Районный коэффициент</t>
    </r>
    <r>
      <rPr>
        <b/>
        <sz val="12"/>
        <rFont val="Times New Roman"/>
        <family val="1"/>
        <charset val="204"/>
      </rPr>
      <t xml:space="preserve"> (Крj)</t>
    </r>
    <r>
      <rPr>
        <sz val="12"/>
        <rFont val="Times New Roman"/>
        <family val="1"/>
        <charset val="204"/>
      </rPr>
      <t xml:space="preserve"> и северные надбавки к заработной плате </t>
    </r>
    <r>
      <rPr>
        <b/>
        <sz val="12"/>
        <rFont val="Times New Roman"/>
        <family val="1"/>
        <charset val="204"/>
      </rPr>
      <t>(Ксевнj)</t>
    </r>
  </si>
  <si>
    <t>Удельный вес  населения  в общей численности населения (гр.2/ит.гр.2)</t>
  </si>
  <si>
    <r>
      <t>Численность населения на 01.01.2024 (чел.)</t>
    </r>
    <r>
      <rPr>
        <b/>
        <sz val="12"/>
        <rFont val="Times New Roman"/>
        <family val="1"/>
        <charset val="204"/>
      </rPr>
      <t>, Чj/ Ч</t>
    </r>
  </si>
  <si>
    <r>
      <t xml:space="preserve">25% - надбавка за работу в сельской местности, </t>
    </r>
    <r>
      <rPr>
        <b/>
        <sz val="12"/>
        <rFont val="Times New Roman"/>
        <family val="1"/>
        <charset val="204"/>
      </rPr>
      <t>Кснj</t>
    </r>
  </si>
  <si>
    <t>Наименование муниципального образования</t>
  </si>
  <si>
    <r>
      <t xml:space="preserve">Коэффициент удорожания стоимости жилищно-коммунальных услуг (гр.2/ср.гр.2),       </t>
    </r>
    <r>
      <rPr>
        <b/>
        <sz val="12"/>
        <rFont val="Times New Roman"/>
        <family val="1"/>
        <charset val="204"/>
      </rPr>
      <t>Кжкуj</t>
    </r>
  </si>
  <si>
    <r>
      <t xml:space="preserve">Прогноз средневзвешенного тарифа на тепловую энергию по бюджетным организациям на 2025 год (по данным Департамента тарифного регулирования), </t>
    </r>
    <r>
      <rPr>
        <b/>
        <sz val="12"/>
        <rFont val="Times New Roman"/>
        <family val="1"/>
        <charset val="204"/>
      </rPr>
      <t>tj</t>
    </r>
  </si>
  <si>
    <t>Лукашкин-Ярское</t>
  </si>
  <si>
    <t>Налоговый потенциал, гр.6</t>
  </si>
  <si>
    <t>Назино</t>
  </si>
  <si>
    <t xml:space="preserve">3.по организации в границах
поселений электро-,
тепло-, газо-,водоснабжения, 
водоотведения, снабжения
населения топливом </t>
  </si>
  <si>
    <t>Сумма        (тыс. руб.)</t>
  </si>
  <si>
    <t>0102</t>
  </si>
  <si>
    <t>0103</t>
  </si>
  <si>
    <t>0104</t>
  </si>
  <si>
    <t>0106</t>
  </si>
  <si>
    <t>0107</t>
  </si>
  <si>
    <t>0801, 0804</t>
  </si>
  <si>
    <t>1101</t>
  </si>
  <si>
    <t xml:space="preserve"> Всего 2.</t>
  </si>
  <si>
    <t>0502</t>
  </si>
  <si>
    <t>Всего 3.</t>
  </si>
  <si>
    <t>0409</t>
  </si>
  <si>
    <t xml:space="preserve">акцизы </t>
  </si>
  <si>
    <t>0503</t>
  </si>
  <si>
    <t>0605</t>
  </si>
  <si>
    <t>0501</t>
  </si>
  <si>
    <t>0111</t>
  </si>
  <si>
    <t>0113</t>
  </si>
  <si>
    <t>0309</t>
  </si>
  <si>
    <t>0310</t>
  </si>
  <si>
    <t>0405</t>
  </si>
  <si>
    <t>0408</t>
  </si>
  <si>
    <t>0410</t>
  </si>
  <si>
    <t>0412</t>
  </si>
  <si>
    <t>0602</t>
  </si>
  <si>
    <t>1003</t>
  </si>
  <si>
    <t>1200</t>
  </si>
  <si>
    <t>1201</t>
  </si>
  <si>
    <t>1202</t>
  </si>
  <si>
    <t>Расчет удельного веса расходов бюджетов поселений Александровского района на 2025 год</t>
  </si>
  <si>
    <t>Всего 1.</t>
  </si>
  <si>
    <t>Всего 4.</t>
  </si>
  <si>
    <t>Всего 5.</t>
  </si>
  <si>
    <t>Всего 6.</t>
  </si>
  <si>
    <t>индекса бюджетных расходов поселений  на 2025 год</t>
  </si>
  <si>
    <t>1.по формированию, утверждению, исполнению 
бюджета поселения и контролю за исполнением
данного бюджета</t>
  </si>
  <si>
    <t>2.по созданию условий для организации досуга</t>
  </si>
  <si>
    <t>3.по организации в границах
поселений электро-,
тепло-, газо-,водоснабжения, 
водоотведения, снабжения
населения топливом</t>
  </si>
  <si>
    <t>4.по содержанию и строительству
автомобильных дорог,
организации благоустройства,
организации освещения улиц,
содержания мест захоронения</t>
  </si>
  <si>
    <t>6.по иным вопросам местного
значения поселений</t>
  </si>
  <si>
    <t>Собственные доходы</t>
  </si>
  <si>
    <t>Наименование
сельского 
поселения</t>
  </si>
  <si>
    <t>Численность
населения 
на 01.01.2024,
чел.</t>
  </si>
  <si>
    <t>Распределение
1 части
РФФПП,
тыс. руб.
гр4*гр2</t>
  </si>
  <si>
    <t>Налоговый
потенциал
поселений,
тыс. руб..</t>
  </si>
  <si>
    <t>Налоговый
потенциал
поселений в расчете на 1 жителя,
руб.
гр6/гр2</t>
  </si>
  <si>
    <t>Индекс
налогового 
потенциала
гр7/итгр7</t>
  </si>
  <si>
    <t>Индекс
бюджетных 
расходов</t>
  </si>
  <si>
    <t>Бюджетная
обеспеченность
гр8/гр9</t>
  </si>
  <si>
    <t>Объем 2 
части РФФПП
на 1-ом
этапе,
тыс. руб. гр11*0,9</t>
  </si>
  <si>
    <t>Максимальный
уровень 
бюджетной
обеспеченности</t>
  </si>
  <si>
    <t>Степень
сокращения
отставания
уровня
бюджетной
обеспеченности
гр13-гр10</t>
  </si>
  <si>
    <t xml:space="preserve">Средства,
необходимые
для доведения
уровня
бюджетной 
обеспеченности
до максимального
уровня
гр7макс*гр14*гр2*гр9
</t>
  </si>
  <si>
    <t>Объем 2
части РФФПП
на 2-ом
этапе,
тыс. руб.
гр11-гр16</t>
  </si>
  <si>
    <t>Численность населения*бюджетную обеспеченность
гр2*гр10</t>
  </si>
  <si>
    <t>Итого
РФФПП,
тыс. руб.
гр5+гр16+гр19</t>
  </si>
  <si>
    <t xml:space="preserve">
Бюджетная
обеспеченность
до выравнивания</t>
  </si>
  <si>
    <t>Ранжирование
до выравнивания</t>
  </si>
  <si>
    <t>Доходы поселения
после выравнивания
в расчете на 1 жителя, руб.
(гр6+гр20)/гр2</t>
  </si>
  <si>
    <t>Бюджетная обеспеченность
после выравнивания
гр23/итгр23/гр9</t>
  </si>
  <si>
    <t>Ранжирование
после
выравнивания</t>
  </si>
  <si>
    <t xml:space="preserve">распределения дотаций сельским поселениям Александровского района  на 2025 год </t>
  </si>
  <si>
    <t>1 этап 2
части РФФПП,
тыс. руб.
гр15*ит.гр12/ит.гр15</t>
  </si>
  <si>
    <t>гр26-гр27</t>
  </si>
  <si>
    <t xml:space="preserve"> коэффициента благоустройства на 2025 год</t>
  </si>
  <si>
    <t>поправочного коэффициента на структуру жилого фонда на 2025 год</t>
  </si>
  <si>
    <t>в административном центре поселения на 2025 год</t>
  </si>
  <si>
    <t>Всего налоговые и неналоговые доходы</t>
  </si>
  <si>
    <t>Сумма             (тыс. руб.)</t>
  </si>
  <si>
    <t>Сумма                       (тыс. руб.)</t>
  </si>
  <si>
    <t>Сумма                    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</si>
</sst>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#,##0.000"/>
    <numFmt numFmtId="167" formatCode="#,##0.0"/>
  </numFmts>
  <fonts count="20" x14ac:knownFonts="1">
    <font>
      <sz val="10"/>
      <name val="Arial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Arial"/>
      <family val="2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4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1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Border="1"/>
    <xf numFmtId="0" fontId="5" fillId="0" borderId="0" xfId="0" applyFont="1" applyBorder="1" applyAlignment="1">
      <alignment wrapText="1"/>
    </xf>
    <xf numFmtId="164" fontId="5" fillId="0" borderId="0" xfId="0" applyNumberFormat="1" applyFont="1" applyBorder="1"/>
    <xf numFmtId="0" fontId="2" fillId="0" borderId="0" xfId="0" applyFont="1" applyBorder="1"/>
    <xf numFmtId="164" fontId="2" fillId="0" borderId="0" xfId="0" applyNumberFormat="1" applyFont="1"/>
    <xf numFmtId="0" fontId="7" fillId="0" borderId="1" xfId="0" applyFont="1" applyBorder="1"/>
    <xf numFmtId="164" fontId="7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0" xfId="0" applyFont="1" applyFill="1"/>
    <xf numFmtId="3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/>
    <xf numFmtId="166" fontId="2" fillId="0" borderId="0" xfId="0" applyNumberFormat="1" applyFont="1"/>
    <xf numFmtId="164" fontId="2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" fontId="2" fillId="0" borderId="0" xfId="0" applyNumberFormat="1" applyFont="1"/>
    <xf numFmtId="4" fontId="7" fillId="0" borderId="1" xfId="0" applyNumberFormat="1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2" fillId="7" borderId="1" xfId="0" applyNumberFormat="1" applyFont="1" applyFill="1" applyBorder="1" applyAlignment="1">
      <alignment horizontal="center" vertical="center"/>
    </xf>
    <xf numFmtId="164" fontId="2" fillId="8" borderId="1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3" fillId="0" borderId="0" xfId="0" applyFont="1"/>
    <xf numFmtId="165" fontId="2" fillId="0" borderId="0" xfId="0" applyNumberFormat="1" applyFont="1" applyBorder="1"/>
    <xf numFmtId="0" fontId="5" fillId="4" borderId="0" xfId="0" applyFont="1" applyFill="1"/>
    <xf numFmtId="0" fontId="0" fillId="4" borderId="0" xfId="0" applyFill="1"/>
    <xf numFmtId="0" fontId="2" fillId="4" borderId="0" xfId="0" applyNumberFormat="1" applyFont="1" applyFill="1" applyBorder="1" applyAlignment="1" applyProtection="1">
      <alignment vertical="top"/>
    </xf>
    <xf numFmtId="0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top"/>
    </xf>
    <xf numFmtId="164" fontId="2" fillId="4" borderId="0" xfId="0" applyNumberFormat="1" applyFont="1" applyFill="1" applyBorder="1" applyAlignment="1" applyProtection="1">
      <alignment vertical="top"/>
    </xf>
    <xf numFmtId="0" fontId="0" fillId="4" borderId="0" xfId="0" applyFill="1" applyAlignment="1">
      <alignment vertical="center"/>
    </xf>
    <xf numFmtId="164" fontId="0" fillId="4" borderId="0" xfId="0" applyNumberFormat="1" applyFill="1"/>
    <xf numFmtId="0" fontId="6" fillId="4" borderId="0" xfId="0" applyFont="1" applyFill="1"/>
    <xf numFmtId="0" fontId="2" fillId="4" borderId="1" xfId="0" applyFont="1" applyFill="1" applyBorder="1" applyAlignment="1">
      <alignment horizontal="left" vertical="center" wrapText="1"/>
    </xf>
    <xf numFmtId="165" fontId="2" fillId="4" borderId="1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/>
    <xf numFmtId="164" fontId="3" fillId="4" borderId="1" xfId="0" applyNumberFormat="1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/>
    </xf>
    <xf numFmtId="0" fontId="3" fillId="4" borderId="1" xfId="0" applyFont="1" applyFill="1" applyBorder="1" applyAlignment="1">
      <alignment wrapText="1"/>
    </xf>
    <xf numFmtId="2" fontId="2" fillId="0" borderId="0" xfId="0" applyNumberFormat="1" applyFont="1"/>
    <xf numFmtId="4" fontId="2" fillId="0" borderId="0" xfId="0" applyNumberFormat="1" applyFont="1" applyBorder="1"/>
    <xf numFmtId="0" fontId="7" fillId="0" borderId="0" xfId="0" applyFont="1" applyBorder="1"/>
    <xf numFmtId="0" fontId="10" fillId="0" borderId="1" xfId="0" applyFont="1" applyBorder="1"/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166" fontId="10" fillId="0" borderId="1" xfId="0" applyNumberFormat="1" applyFont="1" applyBorder="1" applyAlignment="1">
      <alignment horizontal="center" wrapText="1"/>
    </xf>
    <xf numFmtId="166" fontId="10" fillId="0" borderId="1" xfId="0" applyNumberFormat="1" applyFont="1" applyBorder="1" applyAlignment="1">
      <alignment horizontal="center"/>
    </xf>
    <xf numFmtId="166" fontId="7" fillId="0" borderId="1" xfId="0" applyNumberFormat="1" applyFont="1" applyBorder="1" applyAlignment="1">
      <alignment horizontal="center" vertical="center"/>
    </xf>
    <xf numFmtId="166" fontId="2" fillId="6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6" fontId="2" fillId="4" borderId="1" xfId="0" applyNumberFormat="1" applyFont="1" applyFill="1" applyBorder="1" applyAlignment="1">
      <alignment horizontal="center" vertical="center"/>
    </xf>
    <xf numFmtId="166" fontId="7" fillId="6" borderId="1" xfId="0" applyNumberFormat="1" applyFont="1" applyFill="1" applyBorder="1" applyAlignment="1">
      <alignment horizontal="center" vertical="center"/>
    </xf>
    <xf numFmtId="166" fontId="7" fillId="4" borderId="1" xfId="0" applyNumberFormat="1" applyFont="1" applyFill="1" applyBorder="1" applyAlignment="1">
      <alignment horizontal="center" vertical="center"/>
    </xf>
    <xf numFmtId="0" fontId="10" fillId="0" borderId="0" xfId="0" applyFont="1"/>
    <xf numFmtId="4" fontId="10" fillId="0" borderId="0" xfId="0" applyNumberFormat="1" applyFont="1"/>
    <xf numFmtId="164" fontId="10" fillId="0" borderId="0" xfId="0" applyNumberFormat="1" applyFont="1"/>
    <xf numFmtId="166" fontId="10" fillId="0" borderId="0" xfId="0" applyNumberFormat="1" applyFont="1"/>
    <xf numFmtId="4" fontId="2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49" fontId="2" fillId="0" borderId="0" xfId="0" applyNumberFormat="1" applyFont="1"/>
    <xf numFmtId="0" fontId="2" fillId="0" borderId="0" xfId="0" applyFont="1" applyAlignment="1">
      <alignment horizontal="center"/>
    </xf>
    <xf numFmtId="0" fontId="3" fillId="4" borderId="0" xfId="0" applyNumberFormat="1" applyFont="1" applyFill="1" applyBorder="1" applyAlignment="1" applyProtection="1">
      <alignment horizontal="center" vertical="top"/>
    </xf>
    <xf numFmtId="0" fontId="2" fillId="4" borderId="1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/>
    <xf numFmtId="0" fontId="14" fillId="4" borderId="0" xfId="0" applyFont="1" applyFill="1"/>
    <xf numFmtId="0" fontId="10" fillId="4" borderId="0" xfId="0" applyFont="1" applyFill="1"/>
    <xf numFmtId="0" fontId="3" fillId="4" borderId="0" xfId="0" applyFont="1" applyFill="1"/>
    <xf numFmtId="0" fontId="4" fillId="4" borderId="0" xfId="0" applyFont="1" applyFill="1"/>
    <xf numFmtId="166" fontId="2" fillId="4" borderId="1" xfId="0" applyNumberFormat="1" applyFont="1" applyFill="1" applyBorder="1"/>
    <xf numFmtId="0" fontId="2" fillId="4" borderId="7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2" fillId="4" borderId="0" xfId="0" applyFont="1" applyFill="1" applyAlignment="1">
      <alignment horizontal="center" wrapText="1"/>
    </xf>
    <xf numFmtId="0" fontId="2" fillId="4" borderId="0" xfId="0" applyFont="1" applyFill="1" applyAlignment="1">
      <alignment horizontal="left" wrapText="1"/>
    </xf>
    <xf numFmtId="4" fontId="2" fillId="0" borderId="1" xfId="0" applyNumberFormat="1" applyFont="1" applyBorder="1" applyAlignment="1">
      <alignment horizontal="center" wrapText="1"/>
    </xf>
    <xf numFmtId="2" fontId="2" fillId="0" borderId="0" xfId="0" applyNumberFormat="1" applyFont="1" applyBorder="1"/>
    <xf numFmtId="0" fontId="3" fillId="0" borderId="1" xfId="0" applyFont="1" applyBorder="1" applyAlignment="1">
      <alignment wrapText="1"/>
    </xf>
    <xf numFmtId="0" fontId="2" fillId="0" borderId="0" xfId="0" applyFont="1" applyFill="1"/>
    <xf numFmtId="166" fontId="2" fillId="0" borderId="0" xfId="0" applyNumberFormat="1" applyFont="1" applyFill="1"/>
    <xf numFmtId="166" fontId="10" fillId="0" borderId="1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49" fontId="2" fillId="0" borderId="1" xfId="0" applyNumberFormat="1" applyFont="1" applyBorder="1"/>
    <xf numFmtId="3" fontId="2" fillId="4" borderId="0" xfId="0" applyNumberFormat="1" applyFont="1" applyFill="1" applyBorder="1"/>
    <xf numFmtId="49" fontId="2" fillId="2" borderId="1" xfId="0" applyNumberFormat="1" applyFont="1" applyFill="1" applyBorder="1"/>
    <xf numFmtId="166" fontId="2" fillId="2" borderId="1" xfId="0" applyNumberFormat="1" applyFont="1" applyFill="1" applyBorder="1"/>
    <xf numFmtId="49" fontId="2" fillId="4" borderId="1" xfId="0" applyNumberFormat="1" applyFont="1" applyFill="1" applyBorder="1"/>
    <xf numFmtId="164" fontId="2" fillId="2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3" fontId="16" fillId="0" borderId="1" xfId="0" applyNumberFormat="1" applyFont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horizontal="center" vertical="center" wrapText="1"/>
    </xf>
    <xf numFmtId="0" fontId="17" fillId="0" borderId="0" xfId="0" applyFont="1" applyBorder="1"/>
    <xf numFmtId="0" fontId="17" fillId="0" borderId="0" xfId="0" applyFont="1"/>
    <xf numFmtId="0" fontId="7" fillId="0" borderId="0" xfId="0" applyFont="1"/>
    <xf numFmtId="0" fontId="16" fillId="4" borderId="1" xfId="0" applyFont="1" applyFill="1" applyBorder="1" applyAlignment="1">
      <alignment horizontal="center" wrapText="1"/>
    </xf>
    <xf numFmtId="0" fontId="16" fillId="4" borderId="1" xfId="0" applyFont="1" applyFill="1" applyBorder="1" applyAlignment="1">
      <alignment horizontal="center"/>
    </xf>
    <xf numFmtId="49" fontId="16" fillId="4" borderId="1" xfId="0" applyNumberFormat="1" applyFont="1" applyFill="1" applyBorder="1" applyAlignment="1" applyProtection="1">
      <alignment horizontal="center" vertical="top"/>
    </xf>
    <xf numFmtId="0" fontId="16" fillId="4" borderId="1" xfId="0" applyNumberFormat="1" applyFont="1" applyFill="1" applyBorder="1" applyAlignment="1" applyProtection="1">
      <alignment horizontal="center" vertical="top"/>
    </xf>
    <xf numFmtId="0" fontId="16" fillId="4" borderId="1" xfId="0" applyFont="1" applyFill="1" applyBorder="1" applyAlignment="1">
      <alignment horizontal="center" vertical="center" wrapText="1"/>
    </xf>
    <xf numFmtId="4" fontId="9" fillId="0" borderId="0" xfId="0" applyNumberFormat="1" applyFont="1"/>
    <xf numFmtId="0" fontId="9" fillId="0" borderId="0" xfId="0" applyFont="1"/>
    <xf numFmtId="167" fontId="9" fillId="0" borderId="0" xfId="0" applyNumberFormat="1" applyFont="1"/>
    <xf numFmtId="167" fontId="11" fillId="0" borderId="0" xfId="0" applyNumberFormat="1" applyFont="1"/>
    <xf numFmtId="0" fontId="11" fillId="0" borderId="0" xfId="0" applyFont="1"/>
    <xf numFmtId="166" fontId="7" fillId="9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/>
    <xf numFmtId="2" fontId="2" fillId="0" borderId="1" xfId="0" applyNumberFormat="1" applyFont="1" applyFill="1" applyBorder="1"/>
    <xf numFmtId="0" fontId="3" fillId="0" borderId="1" xfId="0" applyFont="1" applyFill="1" applyBorder="1"/>
    <xf numFmtId="0" fontId="2" fillId="0" borderId="1" xfId="0" applyFont="1" applyFill="1" applyBorder="1"/>
    <xf numFmtId="0" fontId="0" fillId="0" borderId="0" xfId="0" applyFill="1"/>
    <xf numFmtId="0" fontId="16" fillId="0" borderId="1" xfId="0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164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166" fontId="2" fillId="10" borderId="1" xfId="0" applyNumberFormat="1" applyFont="1" applyFill="1" applyBorder="1" applyAlignment="1">
      <alignment horizontal="center"/>
    </xf>
    <xf numFmtId="4" fontId="2" fillId="10" borderId="1" xfId="0" applyNumberFormat="1" applyFont="1" applyFill="1" applyBorder="1" applyAlignment="1">
      <alignment horizontal="center"/>
    </xf>
    <xf numFmtId="164" fontId="2" fillId="10" borderId="1" xfId="0" applyNumberFormat="1" applyFont="1" applyFill="1" applyBorder="1" applyAlignment="1">
      <alignment horizontal="center"/>
    </xf>
    <xf numFmtId="167" fontId="3" fillId="10" borderId="1" xfId="0" applyNumberFormat="1" applyFont="1" applyFill="1" applyBorder="1" applyAlignment="1">
      <alignment horizontal="center"/>
    </xf>
    <xf numFmtId="164" fontId="2" fillId="10" borderId="1" xfId="0" applyNumberFormat="1" applyFont="1" applyFill="1" applyBorder="1" applyAlignment="1">
      <alignment horizontal="center" vertical="center" wrapText="1"/>
    </xf>
    <xf numFmtId="164" fontId="2" fillId="10" borderId="1" xfId="0" applyNumberFormat="1" applyFont="1" applyFill="1" applyBorder="1" applyAlignment="1">
      <alignment horizontal="center" wrapText="1"/>
    </xf>
    <xf numFmtId="0" fontId="2" fillId="10" borderId="1" xfId="0" applyNumberFormat="1" applyFont="1" applyFill="1" applyBorder="1" applyAlignment="1" applyProtection="1">
      <alignment horizontal="center" vertical="center"/>
    </xf>
    <xf numFmtId="2" fontId="2" fillId="10" borderId="1" xfId="0" applyNumberFormat="1" applyFont="1" applyFill="1" applyBorder="1" applyAlignment="1" applyProtection="1">
      <alignment horizontal="center" vertical="center"/>
    </xf>
    <xf numFmtId="164" fontId="2" fillId="10" borderId="1" xfId="0" applyNumberFormat="1" applyFont="1" applyFill="1" applyBorder="1" applyAlignment="1" applyProtection="1">
      <alignment horizontal="center" vertical="center"/>
    </xf>
    <xf numFmtId="165" fontId="2" fillId="10" borderId="1" xfId="0" applyNumberFormat="1" applyFont="1" applyFill="1" applyBorder="1" applyAlignment="1" applyProtection="1">
      <alignment horizontal="center" vertical="center"/>
    </xf>
    <xf numFmtId="164" fontId="2" fillId="10" borderId="1" xfId="0" applyNumberFormat="1" applyFont="1" applyFill="1" applyBorder="1" applyAlignment="1">
      <alignment horizontal="center" vertical="center"/>
    </xf>
    <xf numFmtId="164" fontId="3" fillId="10" borderId="1" xfId="0" applyNumberFormat="1" applyFont="1" applyFill="1" applyBorder="1" applyAlignment="1">
      <alignment horizontal="center" vertical="center"/>
    </xf>
    <xf numFmtId="164" fontId="2" fillId="10" borderId="1" xfId="0" applyNumberFormat="1" applyFont="1" applyFill="1" applyBorder="1"/>
    <xf numFmtId="164" fontId="3" fillId="10" borderId="1" xfId="0" applyNumberFormat="1" applyFont="1" applyFill="1" applyBorder="1" applyAlignment="1">
      <alignment horizontal="center"/>
    </xf>
    <xf numFmtId="3" fontId="3" fillId="10" borderId="1" xfId="0" applyNumberFormat="1" applyFont="1" applyFill="1" applyBorder="1" applyAlignment="1">
      <alignment horizontal="center" wrapText="1"/>
    </xf>
    <xf numFmtId="2" fontId="2" fillId="10" borderId="1" xfId="0" applyNumberFormat="1" applyFont="1" applyFill="1" applyBorder="1"/>
    <xf numFmtId="166" fontId="2" fillId="10" borderId="1" xfId="0" applyNumberFormat="1" applyFont="1" applyFill="1" applyBorder="1"/>
    <xf numFmtId="3" fontId="3" fillId="10" borderId="1" xfId="0" applyNumberFormat="1" applyFont="1" applyFill="1" applyBorder="1" applyAlignment="1">
      <alignment horizontal="center" vertical="center"/>
    </xf>
    <xf numFmtId="165" fontId="3" fillId="1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" fontId="3" fillId="10" borderId="1" xfId="0" applyNumberFormat="1" applyFont="1" applyFill="1" applyBorder="1" applyAlignment="1">
      <alignment horizontal="center" vertical="center"/>
    </xf>
    <xf numFmtId="3" fontId="3" fillId="10" borderId="1" xfId="0" applyNumberFormat="1" applyFont="1" applyFill="1" applyBorder="1" applyAlignment="1" applyProtection="1">
      <alignment horizontal="center" vertical="center"/>
    </xf>
    <xf numFmtId="3" fontId="3" fillId="10" borderId="1" xfId="0" applyNumberFormat="1" applyFont="1" applyFill="1" applyBorder="1" applyAlignment="1">
      <alignment horizontal="center" vertical="center" wrapText="1"/>
    </xf>
    <xf numFmtId="3" fontId="3" fillId="10" borderId="1" xfId="0" applyNumberFormat="1" applyFont="1" applyFill="1" applyBorder="1" applyAlignment="1">
      <alignment horizontal="center"/>
    </xf>
    <xf numFmtId="3" fontId="2" fillId="10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wrapText="1"/>
    </xf>
    <xf numFmtId="166" fontId="10" fillId="10" borderId="1" xfId="0" applyNumberFormat="1" applyFont="1" applyFill="1" applyBorder="1" applyAlignment="1">
      <alignment horizontal="center" wrapText="1"/>
    </xf>
    <xf numFmtId="166" fontId="10" fillId="10" borderId="1" xfId="0" applyNumberFormat="1" applyFont="1" applyFill="1" applyBorder="1" applyAlignment="1">
      <alignment horizontal="center" vertical="center" wrapText="1"/>
    </xf>
    <xf numFmtId="166" fontId="10" fillId="10" borderId="1" xfId="0" applyNumberFormat="1" applyFont="1" applyFill="1" applyBorder="1" applyAlignment="1">
      <alignment horizontal="center" vertical="center"/>
    </xf>
    <xf numFmtId="0" fontId="7" fillId="11" borderId="1" xfId="0" applyFont="1" applyFill="1" applyBorder="1" applyAlignment="1">
      <alignment horizontal="center" vertical="center" wrapText="1"/>
    </xf>
    <xf numFmtId="0" fontId="16" fillId="11" borderId="1" xfId="0" applyFont="1" applyFill="1" applyBorder="1" applyAlignment="1">
      <alignment horizontal="center" vertical="center"/>
    </xf>
    <xf numFmtId="166" fontId="7" fillId="11" borderId="1" xfId="0" applyNumberFormat="1" applyFont="1" applyFill="1" applyBorder="1" applyAlignment="1">
      <alignment horizontal="center" vertical="center"/>
    </xf>
    <xf numFmtId="166" fontId="9" fillId="11" borderId="1" xfId="0" applyNumberFormat="1" applyFont="1" applyFill="1" applyBorder="1" applyAlignment="1">
      <alignment horizontal="center" vertical="center"/>
    </xf>
    <xf numFmtId="0" fontId="7" fillId="12" borderId="1" xfId="0" applyFont="1" applyFill="1" applyBorder="1" applyAlignment="1">
      <alignment horizontal="center" vertical="center" wrapText="1"/>
    </xf>
    <xf numFmtId="0" fontId="16" fillId="12" borderId="1" xfId="0" applyFont="1" applyFill="1" applyBorder="1" applyAlignment="1">
      <alignment horizontal="center" vertical="center"/>
    </xf>
    <xf numFmtId="166" fontId="2" fillId="12" borderId="1" xfId="0" applyNumberFormat="1" applyFont="1" applyFill="1" applyBorder="1" applyAlignment="1">
      <alignment horizontal="center" vertical="center"/>
    </xf>
    <xf numFmtId="166" fontId="9" fillId="12" borderId="1" xfId="0" applyNumberFormat="1" applyFont="1" applyFill="1" applyBorder="1" applyAlignment="1">
      <alignment horizontal="center" vertical="center"/>
    </xf>
    <xf numFmtId="166" fontId="7" fillId="12" borderId="1" xfId="0" applyNumberFormat="1" applyFont="1" applyFill="1" applyBorder="1" applyAlignment="1">
      <alignment horizontal="center" vertical="center"/>
    </xf>
    <xf numFmtId="166" fontId="8" fillId="12" borderId="1" xfId="0" applyNumberFormat="1" applyFont="1" applyFill="1" applyBorder="1" applyAlignment="1">
      <alignment horizontal="center" vertical="center"/>
    </xf>
    <xf numFmtId="4" fontId="2" fillId="5" borderId="1" xfId="0" applyNumberFormat="1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/>
    </xf>
    <xf numFmtId="166" fontId="2" fillId="5" borderId="1" xfId="0" applyNumberFormat="1" applyFont="1" applyFill="1" applyBorder="1" applyAlignment="1">
      <alignment horizontal="center" vertical="center"/>
    </xf>
    <xf numFmtId="166" fontId="7" fillId="5" borderId="1" xfId="0" applyNumberFormat="1" applyFont="1" applyFill="1" applyBorder="1" applyAlignment="1">
      <alignment horizontal="center" vertical="center"/>
    </xf>
    <xf numFmtId="166" fontId="3" fillId="5" borderId="1" xfId="0" applyNumberFormat="1" applyFont="1" applyFill="1" applyBorder="1" applyAlignment="1">
      <alignment horizontal="center" vertical="center"/>
    </xf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0" xfId="0" applyAlignment="1"/>
    <xf numFmtId="0" fontId="7" fillId="5" borderId="2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0" fillId="4" borderId="0" xfId="0" applyFont="1" applyFill="1" applyAlignment="1">
      <alignment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5" fillId="0" borderId="0" xfId="0" applyFont="1" applyFill="1"/>
    <xf numFmtId="0" fontId="2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top"/>
    </xf>
    <xf numFmtId="0" fontId="0" fillId="0" borderId="0" xfId="0" applyFill="1" applyAlignment="1">
      <alignment horizontal="center" vertical="top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10" fillId="0" borderId="0" xfId="0" applyFont="1" applyFill="1" applyAlignment="1"/>
    <xf numFmtId="0" fontId="12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AE27"/>
  <sheetViews>
    <sheetView view="pageBreakPreview" zoomScale="60" zoomScaleNormal="100" workbookViewId="0">
      <selection activeCell="S20" sqref="S20"/>
    </sheetView>
  </sheetViews>
  <sheetFormatPr defaultRowHeight="15.75" x14ac:dyDescent="0.25"/>
  <cols>
    <col min="1" max="1" width="22.42578125" style="2" customWidth="1"/>
    <col min="2" max="2" width="14.7109375" style="2" customWidth="1"/>
    <col min="3" max="3" width="12.7109375" style="2" customWidth="1"/>
    <col min="4" max="4" width="14.85546875" style="2" customWidth="1"/>
    <col min="5" max="5" width="13.42578125" style="28" customWidth="1"/>
    <col min="6" max="6" width="12.7109375" style="2" customWidth="1"/>
    <col min="7" max="7" width="15" style="2" customWidth="1"/>
    <col min="8" max="8" width="15.140625" style="2" customWidth="1"/>
    <col min="9" max="9" width="11.28515625" style="2" bestFit="1" customWidth="1"/>
    <col min="10" max="10" width="11.42578125" style="2" customWidth="1"/>
    <col min="11" max="11" width="13" style="131" customWidth="1"/>
    <col min="12" max="12" width="13.7109375" style="131" customWidth="1"/>
    <col min="13" max="13" width="10.42578125" style="2" customWidth="1"/>
    <col min="14" max="14" width="13.7109375" style="2" customWidth="1"/>
    <col min="15" max="15" width="19.42578125" style="2" customWidth="1"/>
    <col min="16" max="16" width="14" style="28" customWidth="1"/>
    <col min="17" max="17" width="13.140625" style="2" customWidth="1"/>
    <col min="18" max="18" width="18.42578125" style="2" customWidth="1"/>
    <col min="19" max="19" width="15.5703125" style="28" customWidth="1"/>
    <col min="20" max="20" width="15.28515625" style="28" customWidth="1"/>
    <col min="21" max="21" width="17.5703125" style="2" customWidth="1"/>
    <col min="22" max="22" width="16.85546875" style="131" customWidth="1"/>
    <col min="23" max="23" width="16.85546875" style="2" customWidth="1"/>
    <col min="24" max="24" width="18" style="2" customWidth="1"/>
    <col min="25" max="25" width="10.140625" style="2" customWidth="1"/>
    <col min="26" max="26" width="13.5703125" style="28" hidden="1" customWidth="1"/>
    <col min="27" max="28" width="15.7109375" style="28" hidden="1" customWidth="1"/>
    <col min="29" max="29" width="17" style="28" hidden="1" customWidth="1"/>
    <col min="30" max="16384" width="9.140625" style="2"/>
  </cols>
  <sheetData>
    <row r="2" spans="1:29" x14ac:dyDescent="0.25">
      <c r="A2" s="201" t="s">
        <v>0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1" t="s">
        <v>0</v>
      </c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0"/>
      <c r="AA2" s="200"/>
      <c r="AB2" s="200"/>
      <c r="AC2" s="200"/>
    </row>
    <row r="3" spans="1:29" x14ac:dyDescent="0.25">
      <c r="A3" s="201" t="s">
        <v>188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1" t="s">
        <v>188</v>
      </c>
      <c r="O3" s="202"/>
      <c r="P3" s="202"/>
      <c r="Q3" s="202"/>
      <c r="R3" s="202"/>
      <c r="S3" s="202"/>
      <c r="T3" s="202"/>
      <c r="U3" s="202"/>
      <c r="V3" s="202"/>
      <c r="W3" s="202"/>
      <c r="X3" s="202"/>
      <c r="Y3" s="202"/>
      <c r="Z3" s="200"/>
      <c r="AA3" s="200"/>
      <c r="AB3" s="200"/>
      <c r="AC3" s="200"/>
    </row>
    <row r="5" spans="1:29" ht="173.25" x14ac:dyDescent="0.25">
      <c r="A5" s="27" t="s">
        <v>168</v>
      </c>
      <c r="B5" s="27" t="s">
        <v>169</v>
      </c>
      <c r="C5" s="27" t="s">
        <v>62</v>
      </c>
      <c r="D5" s="27" t="s">
        <v>63</v>
      </c>
      <c r="E5" s="29" t="s">
        <v>170</v>
      </c>
      <c r="F5" s="27" t="s">
        <v>171</v>
      </c>
      <c r="G5" s="27" t="s">
        <v>172</v>
      </c>
      <c r="H5" s="30" t="s">
        <v>173</v>
      </c>
      <c r="I5" s="185" t="s">
        <v>174</v>
      </c>
      <c r="J5" s="189" t="s">
        <v>175</v>
      </c>
      <c r="K5" s="27" t="s">
        <v>64</v>
      </c>
      <c r="L5" s="27" t="s">
        <v>176</v>
      </c>
      <c r="M5" s="27" t="s">
        <v>177</v>
      </c>
      <c r="N5" s="27" t="s">
        <v>178</v>
      </c>
      <c r="O5" s="27" t="s">
        <v>179</v>
      </c>
      <c r="P5" s="29" t="s">
        <v>189</v>
      </c>
      <c r="Q5" s="27" t="s">
        <v>180</v>
      </c>
      <c r="R5" s="31" t="s">
        <v>181</v>
      </c>
      <c r="S5" s="29" t="s">
        <v>65</v>
      </c>
      <c r="T5" s="29" t="s">
        <v>182</v>
      </c>
      <c r="U5" s="27" t="s">
        <v>183</v>
      </c>
      <c r="V5" s="27" t="s">
        <v>184</v>
      </c>
      <c r="W5" s="27" t="s">
        <v>185</v>
      </c>
      <c r="X5" s="27" t="s">
        <v>186</v>
      </c>
      <c r="Y5" s="27" t="s">
        <v>187</v>
      </c>
      <c r="Z5" s="195" t="s">
        <v>66</v>
      </c>
      <c r="AA5" s="195" t="s">
        <v>167</v>
      </c>
      <c r="AB5" s="195" t="s">
        <v>190</v>
      </c>
      <c r="AC5" s="195" t="s">
        <v>67</v>
      </c>
    </row>
    <row r="6" spans="1:29" s="119" customFormat="1" ht="15" x14ac:dyDescent="0.2">
      <c r="A6" s="114">
        <v>1</v>
      </c>
      <c r="B6" s="114">
        <v>2</v>
      </c>
      <c r="C6" s="114">
        <v>3</v>
      </c>
      <c r="D6" s="114">
        <v>4</v>
      </c>
      <c r="E6" s="115">
        <v>5</v>
      </c>
      <c r="F6" s="114">
        <v>6</v>
      </c>
      <c r="G6" s="114">
        <v>7</v>
      </c>
      <c r="H6" s="116">
        <v>8</v>
      </c>
      <c r="I6" s="186">
        <v>9</v>
      </c>
      <c r="J6" s="190">
        <v>10</v>
      </c>
      <c r="K6" s="114">
        <v>11</v>
      </c>
      <c r="L6" s="114">
        <v>12</v>
      </c>
      <c r="M6" s="114">
        <v>13</v>
      </c>
      <c r="N6" s="114">
        <v>14</v>
      </c>
      <c r="O6" s="114">
        <v>15</v>
      </c>
      <c r="P6" s="117">
        <v>16</v>
      </c>
      <c r="Q6" s="114">
        <v>17</v>
      </c>
      <c r="R6" s="118">
        <v>18</v>
      </c>
      <c r="S6" s="118">
        <v>19</v>
      </c>
      <c r="T6" s="118">
        <v>20</v>
      </c>
      <c r="U6" s="114">
        <v>21</v>
      </c>
      <c r="V6" s="114">
        <v>22</v>
      </c>
      <c r="W6" s="114">
        <v>23</v>
      </c>
      <c r="X6" s="114">
        <v>24</v>
      </c>
      <c r="Y6" s="114">
        <v>25</v>
      </c>
      <c r="Z6" s="196">
        <v>26</v>
      </c>
      <c r="AA6" s="196">
        <v>27</v>
      </c>
      <c r="AB6" s="196">
        <v>28</v>
      </c>
      <c r="AC6" s="196">
        <v>29</v>
      </c>
    </row>
    <row r="7" spans="1:29" s="21" customFormat="1" x14ac:dyDescent="0.2">
      <c r="A7" s="1" t="s">
        <v>12</v>
      </c>
      <c r="B7" s="78">
        <v>6359</v>
      </c>
      <c r="C7" s="66"/>
      <c r="D7" s="66"/>
      <c r="E7" s="67">
        <f>ROUND(D13*B7/1000,1)</f>
        <v>9074.7000000000007</v>
      </c>
      <c r="F7" s="66">
        <f>SUM(B17:B19)</f>
        <v>55504.5</v>
      </c>
      <c r="G7" s="68">
        <f t="shared" ref="G7:G13" si="0">ROUND(F7/B7*1000,3)</f>
        <v>8728.4950000000008</v>
      </c>
      <c r="H7" s="69">
        <f>ROUND(G7/G13,3)</f>
        <v>0.98099999999999998</v>
      </c>
      <c r="I7" s="187">
        <f>'Индекс бюджетных расходов'!Y7</f>
        <v>1.1910000000000001</v>
      </c>
      <c r="J7" s="191">
        <f>ROUND(H7/I7,3)</f>
        <v>0.82399999999999995</v>
      </c>
      <c r="K7" s="16"/>
      <c r="L7" s="16"/>
      <c r="M7" s="16"/>
      <c r="N7" s="34">
        <f>M13-J7</f>
        <v>0.65900000000000014</v>
      </c>
      <c r="O7" s="23">
        <f>ROUND(G11*B7*I7*N7,1)</f>
        <v>286883984.5</v>
      </c>
      <c r="P7" s="67">
        <v>12995.03</v>
      </c>
      <c r="Q7" s="16"/>
      <c r="R7" s="26">
        <f t="shared" ref="R7:R12" si="1">ROUND(B7*J7/1000,3)</f>
        <v>5.24</v>
      </c>
      <c r="S7" s="67">
        <f>ROUND(Q13*R7/R13,2)</f>
        <v>2680.15</v>
      </c>
      <c r="T7" s="77">
        <f>E7+P7+S7</f>
        <v>24749.880000000005</v>
      </c>
      <c r="U7" s="35">
        <f>J7</f>
        <v>0.82399999999999995</v>
      </c>
      <c r="V7" s="136">
        <v>2</v>
      </c>
      <c r="W7" s="23">
        <f>(F7+T7)/B7*1000</f>
        <v>12620.597578235571</v>
      </c>
      <c r="X7" s="36">
        <f>J7+(F7+T7-E7)/(B7/1000*I7*K$13)</f>
        <v>1.1583341156659892</v>
      </c>
      <c r="Y7" s="37">
        <v>2</v>
      </c>
      <c r="Z7" s="197">
        <f>'Удельный вес расходов'!O5</f>
        <v>86795.762000000002</v>
      </c>
      <c r="AA7" s="198">
        <f>B22</f>
        <v>60368</v>
      </c>
      <c r="AB7" s="198">
        <f>Z7-AA7</f>
        <v>26427.762000000002</v>
      </c>
      <c r="AC7" s="197">
        <f>Z7-AA7-T7</f>
        <v>1677.8819999999978</v>
      </c>
    </row>
    <row r="8" spans="1:29" s="21" customFormat="1" x14ac:dyDescent="0.2">
      <c r="A8" s="1" t="s">
        <v>123</v>
      </c>
      <c r="B8" s="78">
        <v>230</v>
      </c>
      <c r="C8" s="66"/>
      <c r="D8" s="66"/>
      <c r="E8" s="67">
        <f>ROUND(D13*B8/1000,1)</f>
        <v>328.2</v>
      </c>
      <c r="F8" s="66">
        <f>SUM(C17:C19)</f>
        <v>756</v>
      </c>
      <c r="G8" s="68">
        <f t="shared" si="0"/>
        <v>3286.9569999999999</v>
      </c>
      <c r="H8" s="69">
        <f>ROUND(G8/G13,3)</f>
        <v>0.36899999999999999</v>
      </c>
      <c r="I8" s="187">
        <f>'Индекс бюджетных расходов'!Y8</f>
        <v>1.901</v>
      </c>
      <c r="J8" s="191">
        <f>ROUND(H8/I8,3)</f>
        <v>0.19400000000000001</v>
      </c>
      <c r="K8" s="16"/>
      <c r="L8" s="16"/>
      <c r="M8" s="16"/>
      <c r="N8" s="34">
        <f>M13-J8</f>
        <v>1.2890000000000001</v>
      </c>
      <c r="O8" s="23">
        <f>ROUND(G11*B8*I8*N8,1)</f>
        <v>32395387.100000001</v>
      </c>
      <c r="P8" s="67">
        <f>ROUND(L13/O13*O8,2)</f>
        <v>1467.42</v>
      </c>
      <c r="Q8" s="16"/>
      <c r="R8" s="26">
        <f t="shared" si="1"/>
        <v>4.4999999999999998E-2</v>
      </c>
      <c r="S8" s="67">
        <f>ROUND(Q13*R8/R13,2)</f>
        <v>23.02</v>
      </c>
      <c r="T8" s="77">
        <f t="shared" ref="T8:T12" si="2">E8+P8+S8</f>
        <v>1818.64</v>
      </c>
      <c r="U8" s="35">
        <f t="shared" ref="U8:U13" si="3">J8</f>
        <v>0.19400000000000001</v>
      </c>
      <c r="V8" s="136">
        <v>3</v>
      </c>
      <c r="W8" s="23">
        <f t="shared" ref="W8:W13" si="4">(F8+T8)/B8*1000</f>
        <v>11194.08695652174</v>
      </c>
      <c r="X8" s="36">
        <f t="shared" ref="X8:X12" si="5">J8+(F8+T8-E8)/(B8/1000*I8*K$13)</f>
        <v>0.37677219201860446</v>
      </c>
      <c r="Y8" s="37">
        <v>3</v>
      </c>
      <c r="Z8" s="197">
        <f>'Удельный вес расходов'!O6</f>
        <v>9647.5620000000017</v>
      </c>
      <c r="AA8" s="198">
        <f>C22</f>
        <v>1730</v>
      </c>
      <c r="AB8" s="198">
        <f t="shared" ref="AB8:AB12" si="6">Z8-AA8</f>
        <v>7917.5620000000017</v>
      </c>
      <c r="AC8" s="197">
        <f t="shared" ref="AC8:AC12" si="7">Z8-AA8-T8</f>
        <v>6098.9220000000014</v>
      </c>
    </row>
    <row r="9" spans="1:29" s="21" customFormat="1" ht="15" customHeight="1" x14ac:dyDescent="0.2">
      <c r="A9" s="1" t="s">
        <v>14</v>
      </c>
      <c r="B9" s="78">
        <v>287</v>
      </c>
      <c r="C9" s="68"/>
      <c r="D9" s="68"/>
      <c r="E9" s="67">
        <f>ROUND(D13*B9/1000,1)</f>
        <v>409.6</v>
      </c>
      <c r="F9" s="66">
        <f>SUM(D17:D19)</f>
        <v>468</v>
      </c>
      <c r="G9" s="68">
        <f t="shared" si="0"/>
        <v>1630.662</v>
      </c>
      <c r="H9" s="69">
        <f>ROUND(G9/G13,3)</f>
        <v>0.183</v>
      </c>
      <c r="I9" s="187">
        <f>'Индекс бюджетных расходов'!Y9</f>
        <v>3.4990000000000001</v>
      </c>
      <c r="J9" s="191">
        <f t="shared" ref="J9:J11" si="8">ROUND(H9/I9,3)</f>
        <v>5.1999999999999998E-2</v>
      </c>
      <c r="K9" s="3"/>
      <c r="L9" s="3"/>
      <c r="M9" s="3"/>
      <c r="N9" s="26">
        <f>M13-J9</f>
        <v>1.431</v>
      </c>
      <c r="O9" s="23">
        <f>ROUND(G11*B9*I9*N9,1)</f>
        <v>82601089.599999994</v>
      </c>
      <c r="P9" s="67">
        <f>ROUND(L13/O13*O9,2)</f>
        <v>3741.59</v>
      </c>
      <c r="Q9" s="3"/>
      <c r="R9" s="26">
        <f t="shared" si="1"/>
        <v>1.4999999999999999E-2</v>
      </c>
      <c r="S9" s="67">
        <f>ROUND(Q13*R9/R13,2)</f>
        <v>7.67</v>
      </c>
      <c r="T9" s="77">
        <f t="shared" si="2"/>
        <v>4158.8600000000006</v>
      </c>
      <c r="U9" s="35">
        <f t="shared" si="3"/>
        <v>5.1999999999999998E-2</v>
      </c>
      <c r="V9" s="136">
        <v>4</v>
      </c>
      <c r="W9" s="23">
        <f t="shared" si="4"/>
        <v>16121.463414634149</v>
      </c>
      <c r="X9" s="36">
        <f t="shared" si="5"/>
        <v>0.20139284132803595</v>
      </c>
      <c r="Y9" s="37">
        <v>4</v>
      </c>
      <c r="Z9" s="197">
        <f>'Удельный вес расходов'!O7</f>
        <v>10982.593999999999</v>
      </c>
      <c r="AA9" s="198">
        <f>D22</f>
        <v>1476.5</v>
      </c>
      <c r="AB9" s="198">
        <f t="shared" si="6"/>
        <v>9506.0939999999991</v>
      </c>
      <c r="AC9" s="197">
        <f t="shared" si="7"/>
        <v>5347.2339999999986</v>
      </c>
    </row>
    <row r="10" spans="1:29" s="21" customFormat="1" x14ac:dyDescent="0.2">
      <c r="A10" s="1" t="s">
        <v>15</v>
      </c>
      <c r="B10" s="78">
        <v>138</v>
      </c>
      <c r="C10" s="68"/>
      <c r="D10" s="68"/>
      <c r="E10" s="67">
        <f>ROUND(D13*B10/1000,1)</f>
        <v>196.9</v>
      </c>
      <c r="F10" s="68">
        <f>SUM(E17:E19)</f>
        <v>241</v>
      </c>
      <c r="G10" s="69">
        <f t="shared" si="0"/>
        <v>1746.377</v>
      </c>
      <c r="H10" s="69">
        <f>ROUND(G10/G13,3)</f>
        <v>0.19600000000000001</v>
      </c>
      <c r="I10" s="188">
        <f>'Индекс бюджетных расходов'!Y10</f>
        <v>12.385999999999999</v>
      </c>
      <c r="J10" s="191">
        <f t="shared" si="8"/>
        <v>1.6E-2</v>
      </c>
      <c r="K10" s="3"/>
      <c r="L10" s="3"/>
      <c r="M10" s="3"/>
      <c r="N10" s="26">
        <f>M13-J10</f>
        <v>1.4670000000000001</v>
      </c>
      <c r="O10" s="23">
        <f>ROUND(G11*B10*I10*N10,1)</f>
        <v>144132055.09999999</v>
      </c>
      <c r="P10" s="67">
        <f>ROUND(L13/O13*O10,2)</f>
        <v>6528.77</v>
      </c>
      <c r="Q10" s="3"/>
      <c r="R10" s="26">
        <f t="shared" si="1"/>
        <v>2E-3</v>
      </c>
      <c r="S10" s="67">
        <f>ROUND(Q13*R10/R13,2)</f>
        <v>1.02</v>
      </c>
      <c r="T10" s="68">
        <f t="shared" si="2"/>
        <v>6726.6900000000005</v>
      </c>
      <c r="U10" s="35">
        <f t="shared" si="3"/>
        <v>1.6E-2</v>
      </c>
      <c r="V10" s="136">
        <v>6</v>
      </c>
      <c r="W10" s="23">
        <f t="shared" si="4"/>
        <v>50490.507246376816</v>
      </c>
      <c r="X10" s="36">
        <f t="shared" si="5"/>
        <v>0.15691409370687487</v>
      </c>
      <c r="Y10" s="37">
        <v>6</v>
      </c>
      <c r="Z10" s="197">
        <f>'Удельный вес расходов'!O8</f>
        <v>8799.8770000000004</v>
      </c>
      <c r="AA10" s="198">
        <f>E22</f>
        <v>883</v>
      </c>
      <c r="AB10" s="198">
        <f t="shared" si="6"/>
        <v>7916.8770000000004</v>
      </c>
      <c r="AC10" s="197">
        <f t="shared" si="7"/>
        <v>1190.1869999999999</v>
      </c>
    </row>
    <row r="11" spans="1:29" s="21" customFormat="1" x14ac:dyDescent="0.2">
      <c r="A11" s="1" t="s">
        <v>16</v>
      </c>
      <c r="B11" s="78">
        <v>128</v>
      </c>
      <c r="C11" s="68"/>
      <c r="D11" s="68"/>
      <c r="E11" s="67">
        <v>182.6</v>
      </c>
      <c r="F11" s="66">
        <f>SUM(F17:F19)</f>
        <v>7357.5</v>
      </c>
      <c r="G11" s="69">
        <f t="shared" si="0"/>
        <v>57480.468999999997</v>
      </c>
      <c r="H11" s="69">
        <f>ROUND(G11/G13,)</f>
        <v>6</v>
      </c>
      <c r="I11" s="187">
        <f>'Индекс бюджетных расходов'!Y11</f>
        <v>4.0449999999999999</v>
      </c>
      <c r="J11" s="192">
        <f t="shared" si="8"/>
        <v>1.4830000000000001</v>
      </c>
      <c r="K11" s="3"/>
      <c r="L11" s="3"/>
      <c r="M11" s="3"/>
      <c r="N11" s="33">
        <f>M13-J11</f>
        <v>0</v>
      </c>
      <c r="O11" s="23">
        <f>ROUND(G11*B11*I11*N11,1)</f>
        <v>0</v>
      </c>
      <c r="P11" s="67">
        <f>ROUND(L13/O13*O11,2)</f>
        <v>0</v>
      </c>
      <c r="Q11" s="3"/>
      <c r="R11" s="26">
        <f t="shared" si="1"/>
        <v>0.19</v>
      </c>
      <c r="S11" s="67">
        <f>ROUND(Q13*R11/R13,2)</f>
        <v>97.18</v>
      </c>
      <c r="T11" s="77">
        <f t="shared" si="2"/>
        <v>279.77999999999997</v>
      </c>
      <c r="U11" s="35">
        <f t="shared" si="3"/>
        <v>1.4830000000000001</v>
      </c>
      <c r="V11" s="136">
        <v>1</v>
      </c>
      <c r="W11" s="23">
        <f t="shared" si="4"/>
        <v>59666.25</v>
      </c>
      <c r="X11" s="36">
        <f t="shared" si="5"/>
        <v>1.9951837078791335</v>
      </c>
      <c r="Y11" s="37">
        <v>1</v>
      </c>
      <c r="Z11" s="197">
        <f>'Удельный вес расходов'!O9</f>
        <v>9537.8880000000008</v>
      </c>
      <c r="AA11" s="198">
        <f>F22</f>
        <v>7746</v>
      </c>
      <c r="AB11" s="198">
        <f t="shared" si="6"/>
        <v>1791.8880000000008</v>
      </c>
      <c r="AC11" s="197">
        <f t="shared" si="7"/>
        <v>1512.1080000000009</v>
      </c>
    </row>
    <row r="12" spans="1:29" s="21" customFormat="1" x14ac:dyDescent="0.2">
      <c r="A12" s="1" t="s">
        <v>17</v>
      </c>
      <c r="B12" s="78">
        <v>91</v>
      </c>
      <c r="C12" s="68"/>
      <c r="D12" s="68"/>
      <c r="E12" s="67">
        <f>ROUND(D13*B12/1000,1)</f>
        <v>129.9</v>
      </c>
      <c r="F12" s="66">
        <f>SUM(G17:G19)</f>
        <v>59</v>
      </c>
      <c r="G12" s="68">
        <f t="shared" si="0"/>
        <v>648.35199999999998</v>
      </c>
      <c r="H12" s="69">
        <f>ROUND(G12/G13,3)</f>
        <v>7.2999999999999995E-2</v>
      </c>
      <c r="I12" s="187">
        <f>'Индекс бюджетных расходов'!Y12</f>
        <v>1.663</v>
      </c>
      <c r="J12" s="191">
        <f>ROUND(H12/I12,3)</f>
        <v>4.3999999999999997E-2</v>
      </c>
      <c r="K12" s="3"/>
      <c r="L12" s="3"/>
      <c r="M12" s="3"/>
      <c r="N12" s="26">
        <f>M13-J12</f>
        <v>1.4390000000000001</v>
      </c>
      <c r="O12" s="23">
        <f>ROUND(G11*B12*I12*N12,1)</f>
        <v>12517417.5</v>
      </c>
      <c r="P12" s="67">
        <f>ROUND(L13/O13*O12,2)</f>
        <v>567</v>
      </c>
      <c r="Q12" s="3"/>
      <c r="R12" s="26">
        <f t="shared" si="1"/>
        <v>4.0000000000000001E-3</v>
      </c>
      <c r="S12" s="67">
        <f>ROUND(Q13*R12/R13,2)</f>
        <v>2.0499999999999998</v>
      </c>
      <c r="T12" s="77">
        <f t="shared" si="2"/>
        <v>698.94999999999993</v>
      </c>
      <c r="U12" s="35">
        <f t="shared" si="3"/>
        <v>4.3999999999999997E-2</v>
      </c>
      <c r="V12" s="136">
        <v>5</v>
      </c>
      <c r="W12" s="23">
        <f t="shared" si="4"/>
        <v>8329.1208791208792</v>
      </c>
      <c r="X12" s="36">
        <f t="shared" si="5"/>
        <v>0.19163381013736558</v>
      </c>
      <c r="Y12" s="37">
        <v>5</v>
      </c>
      <c r="Z12" s="197">
        <f>'Удельный вес расходов'!O10</f>
        <v>8061.2969999999996</v>
      </c>
      <c r="AA12" s="198">
        <f>G22</f>
        <v>532.29999999999995</v>
      </c>
      <c r="AB12" s="198">
        <f t="shared" si="6"/>
        <v>7528.9969999999994</v>
      </c>
      <c r="AC12" s="197">
        <f t="shared" si="7"/>
        <v>6830.0469999999996</v>
      </c>
    </row>
    <row r="13" spans="1:29" s="21" customFormat="1" x14ac:dyDescent="0.2">
      <c r="A13" s="120" t="s">
        <v>11</v>
      </c>
      <c r="B13" s="32">
        <f>B9+B10+B11+B12+B7+B8</f>
        <v>7233</v>
      </c>
      <c r="C13" s="135">
        <v>10321.9</v>
      </c>
      <c r="D13" s="66">
        <f>ROUND(C13/B13*1000,4)</f>
        <v>1427.0564999999999</v>
      </c>
      <c r="E13" s="70">
        <f>SUM(E7:E12)</f>
        <v>10321.900000000001</v>
      </c>
      <c r="F13" s="180">
        <f>SUM(F7:F12)</f>
        <v>64386</v>
      </c>
      <c r="G13" s="66">
        <f t="shared" si="0"/>
        <v>8901.7009999999991</v>
      </c>
      <c r="H13" s="71">
        <v>1</v>
      </c>
      <c r="I13" s="187">
        <f>'Индекс бюджетных расходов'!Y13</f>
        <v>1.383</v>
      </c>
      <c r="J13" s="193">
        <f>ROUND(H13/I13,3)</f>
        <v>0.72299999999999998</v>
      </c>
      <c r="K13" s="135">
        <v>28110.9</v>
      </c>
      <c r="L13" s="66">
        <f>K13*0.9</f>
        <v>25299.81</v>
      </c>
      <c r="M13" s="194">
        <v>1.4830000000000001</v>
      </c>
      <c r="N13" s="16"/>
      <c r="O13" s="32">
        <f>SUM(O7:O12)</f>
        <v>558529933.80000007</v>
      </c>
      <c r="P13" s="70">
        <f>SUM(P7:P12)</f>
        <v>25299.81</v>
      </c>
      <c r="Q13" s="66">
        <f>K13-L13</f>
        <v>2811.09</v>
      </c>
      <c r="R13" s="26">
        <f>SUM(R7:R12)</f>
        <v>5.4959999999999996</v>
      </c>
      <c r="S13" s="70">
        <f>S9+S10+S11+S12+S7+S8</f>
        <v>2811.09</v>
      </c>
      <c r="T13" s="77">
        <f>E13+P13+S13</f>
        <v>38432.800000000003</v>
      </c>
      <c r="U13" s="3">
        <f t="shared" si="3"/>
        <v>0.72299999999999998</v>
      </c>
      <c r="V13" s="3"/>
      <c r="W13" s="23">
        <f t="shared" si="4"/>
        <v>14215.235725148625</v>
      </c>
      <c r="X13" s="3">
        <v>1</v>
      </c>
      <c r="Y13" s="3"/>
      <c r="Z13" s="199">
        <f>SUM(Z7:Z12)</f>
        <v>133824.98000000001</v>
      </c>
      <c r="AA13" s="199">
        <f t="shared" ref="AA13:AC13" si="9">SUM(AA7:AA12)</f>
        <v>72735.8</v>
      </c>
      <c r="AB13" s="199">
        <f t="shared" si="9"/>
        <v>61089.180000000008</v>
      </c>
      <c r="AC13" s="199">
        <f t="shared" si="9"/>
        <v>22656.379999999997</v>
      </c>
    </row>
    <row r="14" spans="1:29" x14ac:dyDescent="0.25">
      <c r="U14" s="28"/>
      <c r="V14" s="130"/>
      <c r="W14" s="28"/>
      <c r="X14" s="28"/>
      <c r="Y14" s="9"/>
      <c r="Z14" s="9"/>
      <c r="AA14" s="9"/>
      <c r="AB14" s="9"/>
      <c r="AC14" s="9"/>
    </row>
    <row r="15" spans="1:29" x14ac:dyDescent="0.25">
      <c r="K15" s="132"/>
      <c r="Q15" s="28"/>
      <c r="U15" s="28"/>
      <c r="V15" s="130"/>
      <c r="W15" s="28"/>
      <c r="X15" s="28"/>
    </row>
    <row r="16" spans="1:29" ht="25.5" x14ac:dyDescent="0.25">
      <c r="A16" s="62"/>
      <c r="B16" s="62" t="s">
        <v>12</v>
      </c>
      <c r="C16" s="60" t="s">
        <v>68</v>
      </c>
      <c r="D16" s="60" t="s">
        <v>125</v>
      </c>
      <c r="E16" s="60" t="s">
        <v>69</v>
      </c>
      <c r="F16" s="61" t="s">
        <v>16</v>
      </c>
      <c r="G16" s="62" t="s">
        <v>17</v>
      </c>
      <c r="H16" s="62" t="s">
        <v>79</v>
      </c>
      <c r="K16" s="132"/>
      <c r="Q16" s="25"/>
      <c r="R16" s="56"/>
      <c r="U16" s="28"/>
      <c r="V16" s="130"/>
      <c r="W16" s="28"/>
      <c r="X16" s="28"/>
      <c r="Z16" s="9"/>
      <c r="AA16" s="2"/>
      <c r="AB16" s="25"/>
      <c r="AC16" s="2"/>
    </row>
    <row r="17" spans="1:29" ht="26.25" x14ac:dyDescent="0.25">
      <c r="A17" s="63" t="s">
        <v>70</v>
      </c>
      <c r="B17" s="64">
        <v>47992</v>
      </c>
      <c r="C17" s="65">
        <v>740</v>
      </c>
      <c r="D17" s="65">
        <v>442</v>
      </c>
      <c r="E17" s="65">
        <v>221</v>
      </c>
      <c r="F17" s="65">
        <v>7348</v>
      </c>
      <c r="G17" s="65">
        <v>55</v>
      </c>
      <c r="H17" s="103">
        <f>SUM(B17:G17)</f>
        <v>56798</v>
      </c>
      <c r="K17" s="132"/>
      <c r="Q17" s="25"/>
      <c r="R17" s="56"/>
      <c r="U17" s="28"/>
      <c r="V17" s="130"/>
      <c r="W17" s="28"/>
      <c r="X17" s="28"/>
      <c r="Z17" s="9"/>
      <c r="AA17" s="2"/>
      <c r="AB17" s="2"/>
      <c r="AC17" s="2"/>
    </row>
    <row r="18" spans="1:29" x14ac:dyDescent="0.25">
      <c r="A18" s="63" t="s">
        <v>71</v>
      </c>
      <c r="B18" s="64">
        <v>5758</v>
      </c>
      <c r="C18" s="65">
        <v>5</v>
      </c>
      <c r="D18" s="65">
        <v>8</v>
      </c>
      <c r="E18" s="65">
        <v>15</v>
      </c>
      <c r="F18" s="65">
        <v>8</v>
      </c>
      <c r="G18" s="65">
        <v>2</v>
      </c>
      <c r="H18" s="103">
        <f>SUM(B18:G18)</f>
        <v>5796</v>
      </c>
      <c r="I18" s="101"/>
      <c r="J18" s="2" t="s">
        <v>73</v>
      </c>
      <c r="K18" s="132"/>
      <c r="Q18" s="25"/>
      <c r="R18" s="56"/>
      <c r="U18" s="28"/>
      <c r="V18" s="130"/>
      <c r="W18" s="28"/>
      <c r="X18" s="28"/>
      <c r="Z18" s="9"/>
      <c r="AA18" s="2"/>
      <c r="AB18" s="2"/>
      <c r="AC18" s="2"/>
    </row>
    <row r="19" spans="1:29" ht="26.25" x14ac:dyDescent="0.25">
      <c r="A19" s="63" t="s">
        <v>72</v>
      </c>
      <c r="B19" s="64">
        <v>1754.5</v>
      </c>
      <c r="C19" s="65">
        <v>11</v>
      </c>
      <c r="D19" s="65">
        <v>18</v>
      </c>
      <c r="E19" s="65">
        <v>5</v>
      </c>
      <c r="F19" s="65">
        <v>1.5</v>
      </c>
      <c r="G19" s="65">
        <v>2</v>
      </c>
      <c r="H19" s="103">
        <f>SUM(B19:G19)</f>
        <v>1792</v>
      </c>
      <c r="I19" s="102"/>
      <c r="K19" s="132"/>
      <c r="Q19" s="25"/>
      <c r="R19" s="56"/>
      <c r="U19" s="28"/>
      <c r="V19" s="130"/>
      <c r="W19" s="28"/>
      <c r="X19" s="28"/>
      <c r="Z19" s="9"/>
      <c r="AA19" s="2"/>
      <c r="AB19" s="2"/>
      <c r="AC19" s="2"/>
    </row>
    <row r="20" spans="1:29" ht="16.5" customHeight="1" x14ac:dyDescent="0.25">
      <c r="A20" s="181" t="s">
        <v>124</v>
      </c>
      <c r="B20" s="182">
        <f t="shared" ref="B20:H20" si="10">B17+B18+B19</f>
        <v>55504.5</v>
      </c>
      <c r="C20" s="182">
        <f t="shared" si="10"/>
        <v>756</v>
      </c>
      <c r="D20" s="182">
        <f t="shared" si="10"/>
        <v>468</v>
      </c>
      <c r="E20" s="182">
        <f t="shared" si="10"/>
        <v>241</v>
      </c>
      <c r="F20" s="182">
        <f t="shared" si="10"/>
        <v>7357.5</v>
      </c>
      <c r="G20" s="182">
        <f t="shared" si="10"/>
        <v>59</v>
      </c>
      <c r="H20" s="182">
        <f t="shared" si="10"/>
        <v>64386</v>
      </c>
      <c r="I20" s="102"/>
      <c r="K20" s="132"/>
      <c r="Q20" s="25"/>
      <c r="R20" s="56"/>
      <c r="U20" s="28"/>
      <c r="V20" s="130"/>
      <c r="W20" s="28"/>
      <c r="X20" s="28"/>
      <c r="Z20" s="9"/>
      <c r="AA20" s="2"/>
      <c r="AB20" s="2"/>
      <c r="AC20" s="2"/>
    </row>
    <row r="21" spans="1:29" x14ac:dyDescent="0.25">
      <c r="A21" s="59"/>
      <c r="B21" s="64"/>
      <c r="C21" s="64"/>
      <c r="D21" s="64"/>
      <c r="E21" s="64"/>
      <c r="F21" s="64"/>
      <c r="G21" s="64"/>
      <c r="H21" s="65"/>
      <c r="I21" s="75"/>
      <c r="K21" s="132"/>
      <c r="Q21" s="25"/>
      <c r="R21" s="56"/>
      <c r="U21" s="28"/>
      <c r="V21" s="130"/>
      <c r="W21" s="28"/>
      <c r="X21" s="28"/>
      <c r="Z21" s="9"/>
      <c r="AA21" s="2"/>
      <c r="AB21" s="2"/>
      <c r="AC21" s="2"/>
    </row>
    <row r="22" spans="1:29" s="72" customFormat="1" ht="26.25" x14ac:dyDescent="0.25">
      <c r="A22" s="181" t="s">
        <v>194</v>
      </c>
      <c r="B22" s="183">
        <v>60368</v>
      </c>
      <c r="C22" s="184">
        <v>1730</v>
      </c>
      <c r="D22" s="184">
        <v>1476.5</v>
      </c>
      <c r="E22" s="184">
        <v>883</v>
      </c>
      <c r="F22" s="184">
        <v>7746</v>
      </c>
      <c r="G22" s="184">
        <v>532.29999999999995</v>
      </c>
      <c r="H22" s="184">
        <f>SUM(B22:G22)</f>
        <v>72735.8</v>
      </c>
      <c r="I22" s="75"/>
      <c r="K22" s="133"/>
      <c r="L22" s="134"/>
      <c r="P22" s="73"/>
      <c r="Q22" s="73"/>
      <c r="R22" s="56"/>
      <c r="S22" s="73"/>
      <c r="T22" s="28"/>
      <c r="U22" s="28"/>
      <c r="V22" s="130"/>
      <c r="W22" s="28"/>
      <c r="X22" s="28"/>
      <c r="Z22" s="74"/>
    </row>
    <row r="23" spans="1:29" x14ac:dyDescent="0.25">
      <c r="A23" s="58"/>
      <c r="B23" s="8"/>
      <c r="C23" s="8"/>
      <c r="D23" s="8"/>
      <c r="E23" s="57"/>
      <c r="F23" s="39"/>
      <c r="G23" s="8"/>
      <c r="R23" s="38"/>
      <c r="U23" s="28"/>
      <c r="V23" s="130"/>
      <c r="W23" s="28"/>
      <c r="X23" s="28"/>
      <c r="Z23" s="2"/>
      <c r="AA23" s="2"/>
      <c r="AB23" s="2"/>
      <c r="AC23" s="2"/>
    </row>
    <row r="24" spans="1:29" x14ac:dyDescent="0.25">
      <c r="A24" s="8"/>
      <c r="B24" s="8"/>
      <c r="C24" s="8"/>
      <c r="D24" s="8"/>
      <c r="E24" s="57"/>
      <c r="F24" s="8"/>
      <c r="G24" s="8"/>
      <c r="Q24" s="28"/>
      <c r="U24" s="28"/>
      <c r="V24" s="130"/>
      <c r="W24" s="28"/>
      <c r="X24" s="28"/>
    </row>
    <row r="25" spans="1:29" x14ac:dyDescent="0.25">
      <c r="U25" s="28"/>
      <c r="V25" s="130"/>
      <c r="W25" s="28"/>
      <c r="X25" s="28"/>
    </row>
    <row r="26" spans="1:29" x14ac:dyDescent="0.25">
      <c r="U26" s="28"/>
      <c r="V26" s="130"/>
      <c r="W26" s="28"/>
      <c r="X26" s="28"/>
    </row>
    <row r="27" spans="1:29" x14ac:dyDescent="0.25">
      <c r="U27" s="28"/>
      <c r="V27" s="130"/>
      <c r="W27" s="28"/>
      <c r="X27" s="28"/>
    </row>
  </sheetData>
  <mergeCells count="4">
    <mergeCell ref="A2:M2"/>
    <mergeCell ref="A3:M3"/>
    <mergeCell ref="N2:Y2"/>
    <mergeCell ref="N3:Y3"/>
  </mergeCells>
  <pageMargins left="0.51181102362204722" right="0.31496062992125984" top="0.55118110236220474" bottom="0.55118110236220474" header="0.31496062992125984" footer="0.11811023622047245"/>
  <pageSetup paperSize="9" scale="66" firstPageNumber="101" orientation="landscape" useFirstPageNumber="1" r:id="rId1"/>
  <headerFooter scaleWithDoc="0">
    <oddFooter xml:space="preserve">&amp;C&amp;"Times New Roman,обычный"&amp;12&amp;P&amp;"Arial,обычный"&amp;10
</oddFooter>
  </headerFooter>
  <colBreaks count="2" manualBreakCount="2">
    <brk id="13" max="22" man="1"/>
    <brk id="25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2"/>
  <sheetViews>
    <sheetView view="pageLayout" topLeftCell="A26" zoomScaleNormal="100" workbookViewId="0">
      <selection activeCell="F26" sqref="F26"/>
    </sheetView>
  </sheetViews>
  <sheetFormatPr defaultRowHeight="12.75" x14ac:dyDescent="0.2"/>
  <cols>
    <col min="1" max="1" width="18.85546875" style="41" customWidth="1"/>
    <col min="2" max="2" width="15.7109375" style="41" customWidth="1"/>
    <col min="3" max="3" width="16.42578125" style="41" customWidth="1"/>
    <col min="4" max="4" width="16.7109375" style="41" customWidth="1"/>
    <col min="5" max="5" width="16" style="41" customWidth="1"/>
    <col min="6" max="6" width="17.85546875" style="41" customWidth="1"/>
    <col min="7" max="7" width="19.7109375" style="41" customWidth="1"/>
    <col min="8" max="8" width="17.85546875" style="41" customWidth="1"/>
    <col min="9" max="16384" width="9.140625" style="41"/>
  </cols>
  <sheetData>
    <row r="1" spans="1:8" s="90" customFormat="1" ht="15.75" x14ac:dyDescent="0.25">
      <c r="A1" s="226" t="s">
        <v>0</v>
      </c>
      <c r="B1" s="237"/>
      <c r="C1" s="237"/>
      <c r="D1" s="237"/>
      <c r="E1" s="237"/>
      <c r="F1" s="237"/>
      <c r="G1" s="237"/>
      <c r="H1" s="237"/>
    </row>
    <row r="2" spans="1:8" s="90" customFormat="1" ht="15.75" x14ac:dyDescent="0.25">
      <c r="A2" s="226" t="s">
        <v>191</v>
      </c>
      <c r="B2" s="237"/>
      <c r="C2" s="237"/>
      <c r="D2" s="237"/>
      <c r="E2" s="237"/>
      <c r="F2" s="237"/>
      <c r="G2" s="237"/>
      <c r="H2" s="237"/>
    </row>
    <row r="3" spans="1:8" s="90" customFormat="1" ht="24.75" customHeight="1" x14ac:dyDescent="0.25">
      <c r="A3" s="22" t="s">
        <v>54</v>
      </c>
    </row>
    <row r="4" spans="1:8" s="141" customFormat="1" ht="124.5" customHeight="1" x14ac:dyDescent="0.2">
      <c r="A4" s="140" t="s">
        <v>94</v>
      </c>
      <c r="B4" s="140" t="s">
        <v>91</v>
      </c>
      <c r="C4" s="140" t="s">
        <v>95</v>
      </c>
      <c r="D4" s="140" t="s">
        <v>92</v>
      </c>
      <c r="E4" s="140" t="s">
        <v>96</v>
      </c>
      <c r="F4" s="140" t="s">
        <v>93</v>
      </c>
      <c r="G4" s="140" t="s">
        <v>97</v>
      </c>
      <c r="H4" s="140" t="s">
        <v>98</v>
      </c>
    </row>
    <row r="5" spans="1:8" s="141" customFormat="1" ht="15" x14ac:dyDescent="0.2">
      <c r="A5" s="118">
        <v>1</v>
      </c>
      <c r="B5" s="118">
        <v>2</v>
      </c>
      <c r="C5" s="118">
        <v>3</v>
      </c>
      <c r="D5" s="118">
        <v>4</v>
      </c>
      <c r="E5" s="118">
        <v>5</v>
      </c>
      <c r="F5" s="118">
        <v>6</v>
      </c>
      <c r="G5" s="118">
        <v>7</v>
      </c>
      <c r="H5" s="118">
        <v>8</v>
      </c>
    </row>
    <row r="6" spans="1:8" s="141" customFormat="1" ht="21" customHeight="1" x14ac:dyDescent="0.25">
      <c r="A6" s="142" t="s">
        <v>12</v>
      </c>
      <c r="B6" s="143">
        <v>260.36</v>
      </c>
      <c r="C6" s="167">
        <f>1+B6/B12</f>
        <v>1.3791482997595739</v>
      </c>
      <c r="D6" s="144">
        <v>41</v>
      </c>
      <c r="E6" s="167">
        <f>1+D6/D12</f>
        <v>1.5426151402858657</v>
      </c>
      <c r="F6" s="143">
        <v>48.1</v>
      </c>
      <c r="G6" s="167">
        <f>1+F6/F12</f>
        <v>1.4873353596757852</v>
      </c>
      <c r="H6" s="167">
        <f>C6*E6*G6</f>
        <v>3.1642986122896315</v>
      </c>
    </row>
    <row r="7" spans="1:8" s="141" customFormat="1" ht="21" customHeight="1" x14ac:dyDescent="0.25">
      <c r="A7" s="142" t="s">
        <v>13</v>
      </c>
      <c r="B7" s="143">
        <v>94.474999999999994</v>
      </c>
      <c r="C7" s="167">
        <f>1+B7/B12</f>
        <v>1.1375788739429471</v>
      </c>
      <c r="D7" s="144">
        <v>7.15</v>
      </c>
      <c r="E7" s="167">
        <f>1+D7/D12</f>
        <v>1.0946267866596082</v>
      </c>
      <c r="F7" s="143">
        <v>13.4</v>
      </c>
      <c r="G7" s="167">
        <f>1+F7/F12</f>
        <v>1.1357649442755826</v>
      </c>
      <c r="H7" s="167">
        <f t="shared" ref="H7:H11" si="0">C7*E7*G7</f>
        <v>1.4142821160548151</v>
      </c>
    </row>
    <row r="8" spans="1:8" s="141" customFormat="1" ht="21" customHeight="1" x14ac:dyDescent="0.25">
      <c r="A8" s="142" t="s">
        <v>14</v>
      </c>
      <c r="B8" s="143">
        <v>189.07</v>
      </c>
      <c r="C8" s="167">
        <f>1+B8/B12</f>
        <v>1.2753324974479283</v>
      </c>
      <c r="D8" s="144">
        <v>12.8</v>
      </c>
      <c r="E8" s="167">
        <f>1+D8/D12</f>
        <v>1.169401799894124</v>
      </c>
      <c r="F8" s="143">
        <v>14.6</v>
      </c>
      <c r="G8" s="167">
        <f>1+F8/F12</f>
        <v>1.1479229989868287</v>
      </c>
      <c r="H8" s="167">
        <f t="shared" si="0"/>
        <v>1.7119849459678751</v>
      </c>
    </row>
    <row r="9" spans="1:8" s="141" customFormat="1" ht="21" customHeight="1" x14ac:dyDescent="0.25">
      <c r="A9" s="142" t="s">
        <v>15</v>
      </c>
      <c r="B9" s="143">
        <v>71.799000000000007</v>
      </c>
      <c r="C9" s="167">
        <f>1+B9/B12</f>
        <v>1.1045570317039393</v>
      </c>
      <c r="D9" s="144">
        <v>2.31</v>
      </c>
      <c r="E9" s="167">
        <f>1+D9/D12</f>
        <v>1.0305717310746427</v>
      </c>
      <c r="F9" s="143">
        <v>9.6999999999999993</v>
      </c>
      <c r="G9" s="167">
        <f>1+F9/F12</f>
        <v>1.0982776089159068</v>
      </c>
      <c r="H9" s="167">
        <f t="shared" si="0"/>
        <v>1.2501971361919317</v>
      </c>
    </row>
    <row r="10" spans="1:8" s="141" customFormat="1" ht="21" customHeight="1" x14ac:dyDescent="0.25">
      <c r="A10" s="142" t="s">
        <v>16</v>
      </c>
      <c r="B10" s="143">
        <v>29.792999999999999</v>
      </c>
      <c r="C10" s="167">
        <f>1+B10/B12</f>
        <v>1.0433859475139691</v>
      </c>
      <c r="D10" s="144">
        <v>6</v>
      </c>
      <c r="E10" s="167">
        <f>1+D10/D12</f>
        <v>1.0794070937003706</v>
      </c>
      <c r="F10" s="143">
        <v>6</v>
      </c>
      <c r="G10" s="167">
        <f>1+F10/F12</f>
        <v>1.0607902735562309</v>
      </c>
      <c r="H10" s="167">
        <f t="shared" si="0"/>
        <v>1.1947025210688065</v>
      </c>
    </row>
    <row r="11" spans="1:8" s="141" customFormat="1" ht="21" customHeight="1" x14ac:dyDescent="0.25">
      <c r="A11" s="142" t="s">
        <v>17</v>
      </c>
      <c r="B11" s="143">
        <v>41.2</v>
      </c>
      <c r="C11" s="167">
        <f>1+B11/B12</f>
        <v>1.0599973496316424</v>
      </c>
      <c r="D11" s="144">
        <v>6.3</v>
      </c>
      <c r="E11" s="167">
        <f>1+D11/D12</f>
        <v>1.0833774483853891</v>
      </c>
      <c r="F11" s="143">
        <v>6.9</v>
      </c>
      <c r="G11" s="167">
        <f>1+F11/F12</f>
        <v>1.0699088145896656</v>
      </c>
      <c r="H11" s="167">
        <f t="shared" si="0"/>
        <v>1.2286589143665645</v>
      </c>
    </row>
    <row r="12" spans="1:8" s="141" customFormat="1" ht="21" customHeight="1" x14ac:dyDescent="0.25">
      <c r="A12" s="145" t="s">
        <v>11</v>
      </c>
      <c r="B12" s="167">
        <f>SUM(B6:B11)</f>
        <v>686.697</v>
      </c>
      <c r="C12" s="146"/>
      <c r="D12" s="170">
        <f>SUM(D6:D11)</f>
        <v>75.56</v>
      </c>
      <c r="E12" s="146"/>
      <c r="F12" s="171">
        <f>SUM(F6:F11)</f>
        <v>98.7</v>
      </c>
      <c r="G12" s="146"/>
      <c r="H12" s="146"/>
    </row>
  </sheetData>
  <mergeCells count="2">
    <mergeCell ref="A2:H2"/>
    <mergeCell ref="A1:H1"/>
  </mergeCells>
  <pageMargins left="0.70866141732283472" right="0.70866141732283472" top="0.74803149606299213" bottom="0.74803149606299213" header="0.31496062992125984" footer="0.31496062992125984"/>
  <pageSetup paperSize="9" scale="96" firstPageNumber="111" orientation="landscape" useFirstPageNumber="1" r:id="rId1"/>
  <headerFooter scaleWithDoc="0">
    <oddFooter>&amp;C&amp;"Times New Roman,обычный"&amp;12&amp;P</odd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view="pageLayout" zoomScaleNormal="100" workbookViewId="0">
      <selection activeCell="E26" sqref="E26"/>
    </sheetView>
  </sheetViews>
  <sheetFormatPr defaultRowHeight="12.75" x14ac:dyDescent="0.2"/>
  <cols>
    <col min="1" max="1" width="24" style="41" customWidth="1"/>
    <col min="2" max="2" width="20.42578125" style="41" customWidth="1"/>
    <col min="3" max="4" width="22" style="41" customWidth="1"/>
    <col min="5" max="5" width="26.140625" style="41" customWidth="1"/>
    <col min="6" max="6" width="18.7109375" style="41" customWidth="1"/>
    <col min="7" max="16384" width="9.140625" style="41"/>
  </cols>
  <sheetData>
    <row r="1" spans="1:7" ht="15.75" x14ac:dyDescent="0.25">
      <c r="A1" s="226" t="s">
        <v>0</v>
      </c>
      <c r="B1" s="238"/>
      <c r="C1" s="238"/>
      <c r="D1" s="238"/>
      <c r="E1" s="238"/>
      <c r="F1" s="238"/>
      <c r="G1" s="22"/>
    </row>
    <row r="2" spans="1:7" ht="15.75" x14ac:dyDescent="0.25">
      <c r="A2" s="239" t="s">
        <v>192</v>
      </c>
      <c r="B2" s="239"/>
      <c r="C2" s="239"/>
      <c r="D2" s="239"/>
      <c r="E2" s="239"/>
      <c r="F2" s="239"/>
      <c r="G2" s="22"/>
    </row>
    <row r="3" spans="1:7" ht="15.75" x14ac:dyDescent="0.25">
      <c r="A3" s="94" t="s">
        <v>55</v>
      </c>
      <c r="B3" s="54"/>
      <c r="C3" s="54"/>
      <c r="D3" s="54"/>
      <c r="E3" s="54"/>
      <c r="F3" s="54"/>
      <c r="G3" s="22"/>
    </row>
    <row r="4" spans="1:7" s="147" customFormat="1" ht="15.75" x14ac:dyDescent="0.25">
      <c r="A4" s="219" t="s">
        <v>18</v>
      </c>
      <c r="B4" s="219" t="s">
        <v>101</v>
      </c>
      <c r="C4" s="219" t="s">
        <v>99</v>
      </c>
      <c r="D4" s="219" t="s">
        <v>100</v>
      </c>
      <c r="E4" s="219" t="s">
        <v>102</v>
      </c>
      <c r="F4" s="219" t="s">
        <v>106</v>
      </c>
      <c r="G4" s="101"/>
    </row>
    <row r="5" spans="1:7" s="147" customFormat="1" ht="82.5" customHeight="1" x14ac:dyDescent="0.25">
      <c r="A5" s="219"/>
      <c r="B5" s="219"/>
      <c r="C5" s="219"/>
      <c r="D5" s="219"/>
      <c r="E5" s="219"/>
      <c r="F5" s="219"/>
      <c r="G5" s="101"/>
    </row>
    <row r="6" spans="1:7" s="147" customFormat="1" ht="15.75" x14ac:dyDescent="0.25">
      <c r="A6" s="148">
        <v>1</v>
      </c>
      <c r="B6" s="137">
        <v>2</v>
      </c>
      <c r="C6" s="137">
        <v>3</v>
      </c>
      <c r="D6" s="137">
        <v>4</v>
      </c>
      <c r="E6" s="137">
        <v>5</v>
      </c>
      <c r="F6" s="137">
        <v>6</v>
      </c>
      <c r="G6" s="101"/>
    </row>
    <row r="7" spans="1:7" s="147" customFormat="1" ht="21" customHeight="1" x14ac:dyDescent="0.25">
      <c r="A7" s="142" t="s">
        <v>12</v>
      </c>
      <c r="B7" s="149">
        <v>6359</v>
      </c>
      <c r="C7" s="150">
        <v>6093</v>
      </c>
      <c r="D7" s="157">
        <f>C7/B7</f>
        <v>0.95816952350998585</v>
      </c>
      <c r="E7" s="151"/>
      <c r="F7" s="160">
        <f>ROUND(D7/E13,3)</f>
        <v>0.46200000000000002</v>
      </c>
      <c r="G7" s="101"/>
    </row>
    <row r="8" spans="1:7" s="147" customFormat="1" ht="21" customHeight="1" x14ac:dyDescent="0.25">
      <c r="A8" s="142" t="s">
        <v>13</v>
      </c>
      <c r="B8" s="149">
        <v>230</v>
      </c>
      <c r="C8" s="150">
        <v>915</v>
      </c>
      <c r="D8" s="157">
        <f t="shared" ref="D8:D12" si="0">C8/B8</f>
        <v>3.9782608695652173</v>
      </c>
      <c r="E8" s="151"/>
      <c r="F8" s="160">
        <f>ROUND(D8/E13,3)</f>
        <v>1.9179999999999999</v>
      </c>
      <c r="G8" s="101"/>
    </row>
    <row r="9" spans="1:7" s="147" customFormat="1" ht="21" customHeight="1" x14ac:dyDescent="0.25">
      <c r="A9" s="142" t="s">
        <v>14</v>
      </c>
      <c r="B9" s="149">
        <v>287</v>
      </c>
      <c r="C9" s="150">
        <v>3100</v>
      </c>
      <c r="D9" s="157">
        <f t="shared" si="0"/>
        <v>10.801393728222996</v>
      </c>
      <c r="E9" s="151"/>
      <c r="F9" s="160">
        <f>ROUND(D9/E13,)</f>
        <v>5</v>
      </c>
      <c r="G9" s="101"/>
    </row>
    <row r="10" spans="1:7" s="147" customFormat="1" ht="21" customHeight="1" x14ac:dyDescent="0.25">
      <c r="A10" s="142" t="s">
        <v>15</v>
      </c>
      <c r="B10" s="149">
        <v>138</v>
      </c>
      <c r="C10" s="150">
        <v>898</v>
      </c>
      <c r="D10" s="157">
        <f t="shared" si="0"/>
        <v>6.5072463768115938</v>
      </c>
      <c r="E10" s="151"/>
      <c r="F10" s="160">
        <f>ROUND(D10/E13,3)</f>
        <v>3.1379999999999999</v>
      </c>
      <c r="G10" s="101"/>
    </row>
    <row r="11" spans="1:7" s="147" customFormat="1" ht="21" customHeight="1" x14ac:dyDescent="0.25">
      <c r="A11" s="142" t="s">
        <v>16</v>
      </c>
      <c r="B11" s="149">
        <v>128</v>
      </c>
      <c r="C11" s="150">
        <v>3394</v>
      </c>
      <c r="D11" s="157">
        <f t="shared" si="0"/>
        <v>26.515625</v>
      </c>
      <c r="E11" s="151"/>
      <c r="F11" s="160">
        <f>ROUND(D11/E13,3)</f>
        <v>12.785</v>
      </c>
      <c r="G11" s="101"/>
    </row>
    <row r="12" spans="1:7" s="147" customFormat="1" ht="21" customHeight="1" x14ac:dyDescent="0.25">
      <c r="A12" s="142" t="s">
        <v>17</v>
      </c>
      <c r="B12" s="149">
        <v>91</v>
      </c>
      <c r="C12" s="150">
        <v>600</v>
      </c>
      <c r="D12" s="157">
        <f t="shared" si="0"/>
        <v>6.5934065934065931</v>
      </c>
      <c r="E12" s="151"/>
      <c r="F12" s="160">
        <f>ROUND(D12/E13,3)</f>
        <v>3.1789999999999998</v>
      </c>
      <c r="G12" s="101"/>
    </row>
    <row r="13" spans="1:7" s="147" customFormat="1" ht="21" customHeight="1" x14ac:dyDescent="0.25">
      <c r="A13" s="152" t="s">
        <v>11</v>
      </c>
      <c r="B13" s="169">
        <f>B7+B8+B9+B10+B11+B12</f>
        <v>7233</v>
      </c>
      <c r="C13" s="169">
        <f>C7+C8+C9+C10+C11+C12</f>
        <v>15000</v>
      </c>
      <c r="D13" s="153"/>
      <c r="E13" s="168">
        <f>ROUND(C13/B13,3)</f>
        <v>2.0739999999999998</v>
      </c>
      <c r="F13" s="153"/>
      <c r="G13" s="101"/>
    </row>
    <row r="14" spans="1:7" ht="15.75" x14ac:dyDescent="0.25">
      <c r="A14" s="22"/>
      <c r="B14" s="22"/>
      <c r="C14" s="22"/>
      <c r="D14" s="22"/>
      <c r="E14" s="22"/>
      <c r="F14" s="22"/>
      <c r="G14" s="22"/>
    </row>
    <row r="15" spans="1:7" ht="15.75" x14ac:dyDescent="0.25">
      <c r="A15" s="22" t="s">
        <v>56</v>
      </c>
      <c r="B15" s="22"/>
      <c r="C15" s="22"/>
      <c r="D15" s="22"/>
      <c r="E15" s="22"/>
      <c r="F15" s="22"/>
      <c r="G15" s="22"/>
    </row>
    <row r="16" spans="1:7" ht="15.75" x14ac:dyDescent="0.25">
      <c r="A16" s="22"/>
      <c r="B16" s="22"/>
      <c r="C16" s="22"/>
      <c r="D16" s="22"/>
      <c r="E16" s="22"/>
      <c r="F16" s="22"/>
      <c r="G16" s="22"/>
    </row>
    <row r="17" spans="1:7" ht="15.75" x14ac:dyDescent="0.25">
      <c r="A17" s="22" t="s">
        <v>27</v>
      </c>
      <c r="B17" s="22"/>
      <c r="C17" s="22"/>
      <c r="D17" s="22"/>
      <c r="E17" s="22"/>
      <c r="F17" s="22"/>
      <c r="G17" s="22"/>
    </row>
    <row r="18" spans="1:7" ht="15.75" x14ac:dyDescent="0.25">
      <c r="A18" s="22" t="s">
        <v>28</v>
      </c>
      <c r="B18" s="22"/>
      <c r="C18" s="22"/>
      <c r="D18" s="22"/>
      <c r="E18" s="22"/>
      <c r="F18" s="22"/>
      <c r="G18" s="22"/>
    </row>
    <row r="19" spans="1:7" ht="15.75" x14ac:dyDescent="0.25">
      <c r="A19" s="22"/>
      <c r="B19" s="22"/>
      <c r="C19" s="22"/>
      <c r="D19" s="22"/>
      <c r="E19" s="22"/>
      <c r="F19" s="22"/>
      <c r="G19" s="22"/>
    </row>
  </sheetData>
  <mergeCells count="8">
    <mergeCell ref="A1:F1"/>
    <mergeCell ref="A2:F2"/>
    <mergeCell ref="A4:A5"/>
    <mergeCell ref="B4:B5"/>
    <mergeCell ref="C4:C5"/>
    <mergeCell ref="D4:D5"/>
    <mergeCell ref="E4:E5"/>
    <mergeCell ref="F4:F5"/>
  </mergeCells>
  <pageMargins left="0.70866141732283472" right="0.70866141732283472" top="0.74803149606299213" bottom="0.74803149606299213" header="0.31496062992125984" footer="0.31496062992125984"/>
  <pageSetup paperSize="9" firstPageNumber="112" orientation="landscape" useFirstPageNumber="1" r:id="rId1"/>
  <headerFooter scaleWithDoc="0">
    <oddFooter>&amp;C&amp;"Times New Roman,обычный"&amp;12&amp;P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5"/>
  <sheetViews>
    <sheetView tabSelected="1" view="pageLayout" zoomScaleNormal="100" workbookViewId="0">
      <selection activeCell="E25" sqref="E25"/>
    </sheetView>
  </sheetViews>
  <sheetFormatPr defaultRowHeight="12.75" x14ac:dyDescent="0.2"/>
  <cols>
    <col min="1" max="1" width="28.140625" style="41" customWidth="1"/>
    <col min="2" max="2" width="16.140625" style="41" customWidth="1"/>
    <col min="3" max="3" width="24" style="41" customWidth="1"/>
    <col min="4" max="4" width="24.5703125" style="41" customWidth="1"/>
    <col min="5" max="16384" width="9.140625" style="41"/>
  </cols>
  <sheetData>
    <row r="1" spans="1:6" ht="15.75" x14ac:dyDescent="0.25">
      <c r="A1" s="226" t="s">
        <v>0</v>
      </c>
      <c r="B1" s="240"/>
      <c r="C1" s="240"/>
      <c r="D1" s="240"/>
      <c r="E1" s="79"/>
      <c r="F1" s="79"/>
    </row>
    <row r="2" spans="1:6" ht="15.75" x14ac:dyDescent="0.25">
      <c r="A2" s="226" t="s">
        <v>19</v>
      </c>
      <c r="B2" s="240"/>
      <c r="C2" s="240"/>
      <c r="D2" s="240"/>
      <c r="E2" s="79"/>
      <c r="F2" s="79"/>
    </row>
    <row r="3" spans="1:6" ht="15.75" x14ac:dyDescent="0.25">
      <c r="A3" s="226" t="s">
        <v>193</v>
      </c>
      <c r="B3" s="240"/>
      <c r="C3" s="240"/>
      <c r="D3" s="240"/>
      <c r="E3" s="79"/>
      <c r="F3" s="79"/>
    </row>
    <row r="4" spans="1:6" ht="15.75" x14ac:dyDescent="0.25">
      <c r="A4" s="22"/>
      <c r="B4" s="22"/>
      <c r="C4" s="22"/>
      <c r="D4" s="22"/>
      <c r="E4" s="22"/>
      <c r="F4" s="22"/>
    </row>
    <row r="5" spans="1:6" ht="15.75" x14ac:dyDescent="0.25">
      <c r="A5" s="22" t="s">
        <v>57</v>
      </c>
      <c r="B5" s="22"/>
      <c r="C5" s="22"/>
      <c r="D5" s="22"/>
      <c r="E5" s="22"/>
      <c r="F5" s="22"/>
    </row>
    <row r="6" spans="1:6" s="147" customFormat="1" ht="109.5" customHeight="1" x14ac:dyDescent="0.25">
      <c r="A6" s="140" t="s">
        <v>94</v>
      </c>
      <c r="B6" s="140" t="s">
        <v>103</v>
      </c>
      <c r="C6" s="140" t="s">
        <v>105</v>
      </c>
      <c r="D6" s="140" t="s">
        <v>104</v>
      </c>
      <c r="E6" s="101"/>
      <c r="F6" s="101"/>
    </row>
    <row r="7" spans="1:6" s="147" customFormat="1" ht="15.75" x14ac:dyDescent="0.25">
      <c r="A7" s="137">
        <v>1</v>
      </c>
      <c r="B7" s="137">
        <v>2</v>
      </c>
      <c r="C7" s="137">
        <v>3</v>
      </c>
      <c r="D7" s="137">
        <v>4</v>
      </c>
      <c r="E7" s="101"/>
      <c r="F7" s="101"/>
    </row>
    <row r="8" spans="1:6" s="147" customFormat="1" ht="21" customHeight="1" x14ac:dyDescent="0.25">
      <c r="A8" s="142" t="s">
        <v>12</v>
      </c>
      <c r="B8" s="149">
        <v>6359</v>
      </c>
      <c r="C8" s="149">
        <v>6288</v>
      </c>
      <c r="D8" s="157">
        <f>1+ROUND((B8-C8)/B8,3)</f>
        <v>1.0109999999999999</v>
      </c>
      <c r="E8" s="101"/>
      <c r="F8" s="101"/>
    </row>
    <row r="9" spans="1:6" s="147" customFormat="1" ht="21" customHeight="1" x14ac:dyDescent="0.25">
      <c r="A9" s="142" t="s">
        <v>13</v>
      </c>
      <c r="B9" s="149">
        <v>230</v>
      </c>
      <c r="C9" s="149">
        <v>230</v>
      </c>
      <c r="D9" s="157">
        <f t="shared" ref="D9:D14" si="0">1+(B9-C9)/B9</f>
        <v>1</v>
      </c>
      <c r="E9" s="101"/>
      <c r="F9" s="101"/>
    </row>
    <row r="10" spans="1:6" s="147" customFormat="1" ht="21" customHeight="1" x14ac:dyDescent="0.25">
      <c r="A10" s="142" t="s">
        <v>14</v>
      </c>
      <c r="B10" s="149">
        <v>287</v>
      </c>
      <c r="C10" s="149">
        <v>287</v>
      </c>
      <c r="D10" s="157">
        <f t="shared" si="0"/>
        <v>1</v>
      </c>
      <c r="E10" s="101"/>
      <c r="F10" s="101"/>
    </row>
    <row r="11" spans="1:6" s="147" customFormat="1" ht="21" customHeight="1" x14ac:dyDescent="0.25">
      <c r="A11" s="142" t="s">
        <v>15</v>
      </c>
      <c r="B11" s="149">
        <v>138</v>
      </c>
      <c r="C11" s="149">
        <v>138</v>
      </c>
      <c r="D11" s="157">
        <f t="shared" si="0"/>
        <v>1</v>
      </c>
      <c r="E11" s="101"/>
      <c r="F11" s="101"/>
    </row>
    <row r="12" spans="1:6" s="147" customFormat="1" ht="21" customHeight="1" x14ac:dyDescent="0.25">
      <c r="A12" s="142" t="s">
        <v>16</v>
      </c>
      <c r="B12" s="149">
        <v>128</v>
      </c>
      <c r="C12" s="149">
        <v>128</v>
      </c>
      <c r="D12" s="157">
        <f t="shared" si="0"/>
        <v>1</v>
      </c>
      <c r="E12" s="101"/>
      <c r="F12" s="101"/>
    </row>
    <row r="13" spans="1:6" s="147" customFormat="1" ht="21" customHeight="1" x14ac:dyDescent="0.25">
      <c r="A13" s="142" t="s">
        <v>17</v>
      </c>
      <c r="B13" s="149">
        <v>91</v>
      </c>
      <c r="C13" s="149">
        <v>73</v>
      </c>
      <c r="D13" s="157">
        <f>1+ROUND((B13-C13)/B13,3)</f>
        <v>1.198</v>
      </c>
      <c r="E13" s="101"/>
      <c r="F13" s="101"/>
    </row>
    <row r="14" spans="1:6" s="147" customFormat="1" ht="21" customHeight="1" x14ac:dyDescent="0.25">
      <c r="A14" s="154" t="s">
        <v>11</v>
      </c>
      <c r="B14" s="179">
        <f>B10+B11+B12+B13+B8+B9</f>
        <v>7233</v>
      </c>
      <c r="C14" s="149">
        <f>C10+C11+C12+C13+C8+C9</f>
        <v>7144</v>
      </c>
      <c r="D14" s="157">
        <f t="shared" si="0"/>
        <v>1.0123047145029724</v>
      </c>
      <c r="E14" s="101"/>
      <c r="F14" s="101"/>
    </row>
    <row r="15" spans="1:6" ht="15.75" x14ac:dyDescent="0.25">
      <c r="A15" s="22"/>
      <c r="B15" s="22"/>
      <c r="C15" s="22"/>
      <c r="D15" s="22"/>
      <c r="E15" s="22"/>
      <c r="F15" s="22"/>
    </row>
  </sheetData>
  <mergeCells count="3">
    <mergeCell ref="A3:D3"/>
    <mergeCell ref="A2:D2"/>
    <mergeCell ref="A1:D1"/>
  </mergeCells>
  <pageMargins left="0.70866141732283472" right="0.70866141732283472" top="0.74803149606299213" bottom="0.74803149606299213" header="0.31496062992125984" footer="0.31496062992125984"/>
  <pageSetup paperSize="9" firstPageNumber="113" orientation="landscape" useFirstPageNumber="1" r:id="rId1"/>
  <headerFooter>
    <oddFooter>&amp;C&amp;"Times New Roman,обычный"&amp;12&amp;P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60"/>
  <sheetViews>
    <sheetView topLeftCell="A5" zoomScaleNormal="100" workbookViewId="0">
      <selection activeCell="I5" sqref="I5"/>
    </sheetView>
  </sheetViews>
  <sheetFormatPr defaultRowHeight="15.75" x14ac:dyDescent="0.25"/>
  <cols>
    <col min="1" max="1" width="18.7109375" style="2" customWidth="1"/>
    <col min="2" max="2" width="16.42578125" style="2" customWidth="1"/>
    <col min="3" max="3" width="18.7109375" style="2" customWidth="1"/>
    <col min="4" max="4" width="19.5703125" style="2" customWidth="1"/>
    <col min="5" max="5" width="19.42578125" style="2" customWidth="1"/>
    <col min="6" max="6" width="19.140625" style="2" customWidth="1"/>
    <col min="7" max="7" width="20.28515625" style="2" customWidth="1"/>
    <col min="8" max="8" width="18.42578125" style="2" customWidth="1"/>
    <col min="9" max="9" width="17.140625" style="2" customWidth="1"/>
    <col min="10" max="10" width="18.5703125" style="2" customWidth="1"/>
    <col min="11" max="11" width="17.85546875" style="2" customWidth="1"/>
    <col min="12" max="12" width="17.7109375" style="2" customWidth="1"/>
    <col min="13" max="13" width="16.85546875" style="2" customWidth="1"/>
    <col min="14" max="14" width="18" style="2" customWidth="1"/>
    <col min="15" max="15" width="16.42578125" style="2" customWidth="1"/>
    <col min="16" max="16384" width="9.140625" style="2"/>
  </cols>
  <sheetData>
    <row r="1" spans="1:16" s="101" customFormat="1" ht="36.75" customHeight="1" x14ac:dyDescent="0.25">
      <c r="A1" s="220" t="s">
        <v>156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</row>
    <row r="2" spans="1:16" ht="149.25" customHeight="1" x14ac:dyDescent="0.25">
      <c r="A2" s="222" t="s">
        <v>120</v>
      </c>
      <c r="B2" s="222" t="s">
        <v>74</v>
      </c>
      <c r="C2" s="222"/>
      <c r="D2" s="222" t="s">
        <v>75</v>
      </c>
      <c r="E2" s="222"/>
      <c r="F2" s="222" t="s">
        <v>126</v>
      </c>
      <c r="G2" s="222"/>
      <c r="H2" s="222" t="s">
        <v>76</v>
      </c>
      <c r="I2" s="222"/>
      <c r="J2" s="222" t="s">
        <v>77</v>
      </c>
      <c r="K2" s="222"/>
      <c r="L2" s="222" t="s">
        <v>78</v>
      </c>
      <c r="M2" s="222"/>
      <c r="N2" s="222" t="s">
        <v>79</v>
      </c>
      <c r="O2" s="222"/>
    </row>
    <row r="3" spans="1:16" ht="31.5" x14ac:dyDescent="0.25">
      <c r="A3" s="223"/>
      <c r="B3" s="81" t="s">
        <v>80</v>
      </c>
      <c r="C3" s="81" t="s">
        <v>195</v>
      </c>
      <c r="D3" s="81" t="s">
        <v>80</v>
      </c>
      <c r="E3" s="81" t="s">
        <v>196</v>
      </c>
      <c r="F3" s="81" t="s">
        <v>80</v>
      </c>
      <c r="G3" s="81" t="s">
        <v>197</v>
      </c>
      <c r="H3" s="81" t="s">
        <v>80</v>
      </c>
      <c r="I3" s="81" t="s">
        <v>127</v>
      </c>
      <c r="J3" s="81" t="s">
        <v>80</v>
      </c>
      <c r="K3" s="81" t="s">
        <v>127</v>
      </c>
      <c r="L3" s="81" t="s">
        <v>80</v>
      </c>
      <c r="M3" s="81" t="s">
        <v>127</v>
      </c>
      <c r="N3" s="81" t="s">
        <v>80</v>
      </c>
      <c r="O3" s="81" t="s">
        <v>127</v>
      </c>
      <c r="P3" s="8"/>
    </row>
    <row r="4" spans="1:16" s="124" customFormat="1" ht="17.100000000000001" customHeight="1" x14ac:dyDescent="0.25">
      <c r="A4" s="121">
        <v>1</v>
      </c>
      <c r="B4" s="121">
        <v>2</v>
      </c>
      <c r="C4" s="121">
        <v>3</v>
      </c>
      <c r="D4" s="121">
        <v>4</v>
      </c>
      <c r="E4" s="121">
        <v>5</v>
      </c>
      <c r="F4" s="121">
        <v>6</v>
      </c>
      <c r="G4" s="121">
        <v>7</v>
      </c>
      <c r="H4" s="121">
        <v>8</v>
      </c>
      <c r="I4" s="121">
        <v>9</v>
      </c>
      <c r="J4" s="121">
        <v>10</v>
      </c>
      <c r="K4" s="121">
        <v>11</v>
      </c>
      <c r="L4" s="121">
        <v>12</v>
      </c>
      <c r="M4" s="121">
        <v>13</v>
      </c>
      <c r="N4" s="121">
        <v>14</v>
      </c>
      <c r="O4" s="121">
        <v>15</v>
      </c>
      <c r="P4" s="58"/>
    </row>
    <row r="5" spans="1:16" ht="21" customHeight="1" x14ac:dyDescent="0.25">
      <c r="A5" s="49" t="s">
        <v>12</v>
      </c>
      <c r="B5" s="68">
        <f>ROUND(C5/O5,3)</f>
        <v>0.29399999999999998</v>
      </c>
      <c r="C5" s="68">
        <f>C19</f>
        <v>25492.792999999998</v>
      </c>
      <c r="D5" s="68">
        <f>ROUND(E5/O5,3)</f>
        <v>0.30299999999999999</v>
      </c>
      <c r="E5" s="68">
        <f>C22</f>
        <v>26286.991000000002</v>
      </c>
      <c r="F5" s="68">
        <f>ROUND(G5/O5,3)</f>
        <v>7.4999999999999997E-2</v>
      </c>
      <c r="G5" s="68">
        <f>C24</f>
        <v>6476.9319999999998</v>
      </c>
      <c r="H5" s="68">
        <f>ROUND(I5/O5,3)</f>
        <v>0.217</v>
      </c>
      <c r="I5" s="68">
        <f>C29</f>
        <v>18850.627</v>
      </c>
      <c r="J5" s="68">
        <f>ROUND(K5/O5,3)</f>
        <v>1.9E-2</v>
      </c>
      <c r="K5" s="68">
        <f>C31</f>
        <v>1642.8</v>
      </c>
      <c r="L5" s="68">
        <f>ROUND(M5/O5,3)</f>
        <v>9.2999999999999999E-2</v>
      </c>
      <c r="M5" s="68">
        <f>C45</f>
        <v>8045.6189999999997</v>
      </c>
      <c r="N5" s="68">
        <f>B5+D5+F5+H5+J5+L5</f>
        <v>1.0009999999999999</v>
      </c>
      <c r="O5" s="68">
        <f>C5+E5+G5+I5+K5+M5</f>
        <v>86795.762000000002</v>
      </c>
      <c r="P5" s="8"/>
    </row>
    <row r="6" spans="1:16" ht="21" customHeight="1" x14ac:dyDescent="0.25">
      <c r="A6" s="49" t="s">
        <v>123</v>
      </c>
      <c r="B6" s="68">
        <f t="shared" ref="B6:B10" si="0">ROUND(C6/O6,3)</f>
        <v>0.749</v>
      </c>
      <c r="C6" s="68">
        <f>D19</f>
        <v>7227.2730000000001</v>
      </c>
      <c r="D6" s="68">
        <f t="shared" ref="D6:D10" si="1">ROUND(E6/O6,3)</f>
        <v>7.0999999999999994E-2</v>
      </c>
      <c r="E6" s="68">
        <f>D22</f>
        <v>682.46</v>
      </c>
      <c r="F6" s="68">
        <f t="shared" ref="F6:F7" si="2">ROUND(G6/O6,3)</f>
        <v>3.9E-2</v>
      </c>
      <c r="G6" s="68">
        <f>D24</f>
        <v>372.09899999999999</v>
      </c>
      <c r="H6" s="68">
        <f>ROUND(I6/O6,3)</f>
        <v>0.114</v>
      </c>
      <c r="I6" s="68">
        <f>D29</f>
        <v>1097.2</v>
      </c>
      <c r="J6" s="68">
        <f t="shared" ref="J6:J10" si="3">ROUND(K6/O6,3)</f>
        <v>5.0000000000000001E-3</v>
      </c>
      <c r="K6" s="68">
        <f>D31</f>
        <v>44.1</v>
      </c>
      <c r="L6" s="68">
        <f t="shared" ref="L6:L11" si="4">ROUND(M6/O6,3)</f>
        <v>2.3E-2</v>
      </c>
      <c r="M6" s="68">
        <f>D45</f>
        <v>224.43</v>
      </c>
      <c r="N6" s="68">
        <f t="shared" ref="N6:O11" si="5">B6+D6+F6+H6+J6+L6</f>
        <v>1.0009999999999999</v>
      </c>
      <c r="O6" s="68">
        <f t="shared" si="5"/>
        <v>9647.5620000000017</v>
      </c>
      <c r="P6" s="8"/>
    </row>
    <row r="7" spans="1:16" ht="21" customHeight="1" x14ac:dyDescent="0.25">
      <c r="A7" s="49" t="s">
        <v>14</v>
      </c>
      <c r="B7" s="68">
        <f t="shared" si="0"/>
        <v>0.6</v>
      </c>
      <c r="C7" s="68">
        <f>E19</f>
        <v>6593.1719999999996</v>
      </c>
      <c r="D7" s="68">
        <f t="shared" si="1"/>
        <v>0.14199999999999999</v>
      </c>
      <c r="E7" s="68">
        <f>E22</f>
        <v>1557.4939999999999</v>
      </c>
      <c r="F7" s="68">
        <f t="shared" si="2"/>
        <v>5.6000000000000001E-2</v>
      </c>
      <c r="G7" s="68">
        <f>E24</f>
        <v>611</v>
      </c>
      <c r="H7" s="68">
        <f t="shared" ref="H7:H11" si="6">ROUND(I7/O7,3)</f>
        <v>0.17799999999999999</v>
      </c>
      <c r="I7" s="68">
        <f>E29</f>
        <v>1955.01</v>
      </c>
      <c r="J7" s="68">
        <f t="shared" si="3"/>
        <v>1E-3</v>
      </c>
      <c r="K7" s="68">
        <f>E31</f>
        <v>13</v>
      </c>
      <c r="L7" s="68">
        <f t="shared" si="4"/>
        <v>2.3E-2</v>
      </c>
      <c r="M7" s="68">
        <f>E45</f>
        <v>252.91800000000001</v>
      </c>
      <c r="N7" s="68">
        <f t="shared" si="5"/>
        <v>1</v>
      </c>
      <c r="O7" s="68">
        <f t="shared" si="5"/>
        <v>10982.593999999999</v>
      </c>
    </row>
    <row r="8" spans="1:16" ht="21" customHeight="1" x14ac:dyDescent="0.25">
      <c r="A8" s="49" t="s">
        <v>15</v>
      </c>
      <c r="B8" s="68">
        <f t="shared" si="0"/>
        <v>0.67100000000000004</v>
      </c>
      <c r="C8" s="68">
        <f>F19</f>
        <v>5901.0150000000003</v>
      </c>
      <c r="D8" s="68">
        <f t="shared" si="1"/>
        <v>0.155</v>
      </c>
      <c r="E8" s="68">
        <f>F22</f>
        <v>1364.36</v>
      </c>
      <c r="F8" s="68">
        <f>ROUND(G8/O8,3)</f>
        <v>1E-3</v>
      </c>
      <c r="G8" s="68">
        <f>F24</f>
        <v>11.44</v>
      </c>
      <c r="H8" s="68">
        <f t="shared" si="6"/>
        <v>0.16800000000000001</v>
      </c>
      <c r="I8" s="68">
        <f>F29</f>
        <v>1477.183</v>
      </c>
      <c r="J8" s="68">
        <f t="shared" si="3"/>
        <v>0</v>
      </c>
      <c r="K8" s="68">
        <f>F31</f>
        <v>0</v>
      </c>
      <c r="L8" s="68">
        <f t="shared" si="4"/>
        <v>5.0000000000000001E-3</v>
      </c>
      <c r="M8" s="68">
        <f>F45</f>
        <v>45.878999999999998</v>
      </c>
      <c r="N8" s="68">
        <f t="shared" si="5"/>
        <v>1</v>
      </c>
      <c r="O8" s="68">
        <f t="shared" si="5"/>
        <v>8799.8770000000004</v>
      </c>
    </row>
    <row r="9" spans="1:16" ht="21" customHeight="1" x14ac:dyDescent="0.25">
      <c r="A9" s="49" t="s">
        <v>16</v>
      </c>
      <c r="B9" s="68">
        <f t="shared" si="0"/>
        <v>0.64700000000000002</v>
      </c>
      <c r="C9" s="68">
        <f>G19</f>
        <v>6169.8590000000004</v>
      </c>
      <c r="D9" s="68">
        <f t="shared" si="1"/>
        <v>9.0999999999999998E-2</v>
      </c>
      <c r="E9" s="68">
        <f>G22</f>
        <v>863.76800000000003</v>
      </c>
      <c r="F9" s="68">
        <f>ROUND(G9/O9,3)</f>
        <v>0</v>
      </c>
      <c r="G9" s="68">
        <f>G24</f>
        <v>0</v>
      </c>
      <c r="H9" s="68">
        <f t="shared" si="6"/>
        <v>5.0999999999999997E-2</v>
      </c>
      <c r="I9" s="68">
        <f>G29</f>
        <v>482.6</v>
      </c>
      <c r="J9" s="68">
        <f t="shared" si="3"/>
        <v>0</v>
      </c>
      <c r="K9" s="68">
        <f>G31</f>
        <v>0</v>
      </c>
      <c r="L9" s="68">
        <f t="shared" si="4"/>
        <v>0.21199999999999999</v>
      </c>
      <c r="M9" s="68">
        <f>G45</f>
        <v>2021.6610000000001</v>
      </c>
      <c r="N9" s="68">
        <f t="shared" si="5"/>
        <v>1.0010000000000001</v>
      </c>
      <c r="O9" s="68">
        <f t="shared" si="5"/>
        <v>9537.8880000000008</v>
      </c>
    </row>
    <row r="10" spans="1:16" ht="21" customHeight="1" x14ac:dyDescent="0.25">
      <c r="A10" s="49" t="s">
        <v>17</v>
      </c>
      <c r="B10" s="68">
        <f t="shared" si="0"/>
        <v>0.81</v>
      </c>
      <c r="C10" s="68">
        <f>H19</f>
        <v>6532.01</v>
      </c>
      <c r="D10" s="68">
        <f t="shared" si="1"/>
        <v>0.11700000000000001</v>
      </c>
      <c r="E10" s="68">
        <f>H22</f>
        <v>945.98</v>
      </c>
      <c r="F10" s="68">
        <f>ROUND(G10/O10,3)</f>
        <v>0</v>
      </c>
      <c r="G10" s="68">
        <f>H24</f>
        <v>0</v>
      </c>
      <c r="H10" s="68">
        <f t="shared" si="6"/>
        <v>5.8000000000000003E-2</v>
      </c>
      <c r="I10" s="68">
        <f>H29</f>
        <v>469.8</v>
      </c>
      <c r="J10" s="68">
        <f t="shared" si="3"/>
        <v>0</v>
      </c>
      <c r="K10" s="68">
        <f>H31</f>
        <v>0</v>
      </c>
      <c r="L10" s="68">
        <f t="shared" si="4"/>
        <v>1.4E-2</v>
      </c>
      <c r="M10" s="68">
        <f>H45</f>
        <v>113.50700000000001</v>
      </c>
      <c r="N10" s="68">
        <f t="shared" si="5"/>
        <v>0.99900000000000011</v>
      </c>
      <c r="O10" s="68">
        <f t="shared" si="5"/>
        <v>8061.2969999999996</v>
      </c>
    </row>
    <row r="11" spans="1:16" ht="21" customHeight="1" x14ac:dyDescent="0.25">
      <c r="A11" s="80"/>
      <c r="B11" s="68">
        <f>ROUND(C11/O11,3)</f>
        <v>0.433</v>
      </c>
      <c r="C11" s="68">
        <f>SUM(C5:C10)</f>
        <v>57916.121999999996</v>
      </c>
      <c r="D11" s="68">
        <f>ROUND(E11/O11,3)</f>
        <v>0.23699999999999999</v>
      </c>
      <c r="E11" s="68">
        <f>SUM(E5:E10)</f>
        <v>31701.053</v>
      </c>
      <c r="F11" s="68">
        <f>ROUND(G11/O11,3)</f>
        <v>5.6000000000000001E-2</v>
      </c>
      <c r="G11" s="68">
        <f>SUM(G5:G10)</f>
        <v>7471.4709999999995</v>
      </c>
      <c r="H11" s="68">
        <f t="shared" si="6"/>
        <v>0.182</v>
      </c>
      <c r="I11" s="68">
        <f>SUM(I5:I10)</f>
        <v>24332.42</v>
      </c>
      <c r="J11" s="68">
        <f t="shared" ref="J11" si="7">ROUND(K11/O11,3)</f>
        <v>1.2999999999999999E-2</v>
      </c>
      <c r="K11" s="68">
        <f>SUM(K5:K10)</f>
        <v>1699.8999999999999</v>
      </c>
      <c r="L11" s="68">
        <f t="shared" si="4"/>
        <v>0.08</v>
      </c>
      <c r="M11" s="68">
        <f>SUM(M5:M10)</f>
        <v>10704.013999999999</v>
      </c>
      <c r="N11" s="68">
        <f t="shared" si="5"/>
        <v>1.0009999999999999</v>
      </c>
      <c r="O11" s="68">
        <f>SUM(O5:O10)</f>
        <v>133824.98000000001</v>
      </c>
    </row>
    <row r="12" spans="1:16" ht="16.5" customHeight="1" x14ac:dyDescent="0.25">
      <c r="A12" s="8"/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5"/>
    </row>
    <row r="13" spans="1:16" ht="31.5" x14ac:dyDescent="0.25">
      <c r="A13" s="80"/>
      <c r="B13" s="80"/>
      <c r="C13" s="81" t="s">
        <v>12</v>
      </c>
      <c r="D13" s="81" t="s">
        <v>13</v>
      </c>
      <c r="E13" s="81" t="s">
        <v>14</v>
      </c>
      <c r="F13" s="81" t="s">
        <v>15</v>
      </c>
      <c r="G13" s="81" t="s">
        <v>16</v>
      </c>
      <c r="H13" s="81" t="s">
        <v>17</v>
      </c>
      <c r="I13" s="106"/>
      <c r="J13" s="8"/>
    </row>
    <row r="14" spans="1:16" x14ac:dyDescent="0.25">
      <c r="A14" s="107" t="s">
        <v>128</v>
      </c>
      <c r="B14" s="24">
        <f>SUM(C14:H14)</f>
        <v>7314.7639999999992</v>
      </c>
      <c r="C14" s="93">
        <v>2039.8910000000001</v>
      </c>
      <c r="D14" s="93">
        <v>1028.876</v>
      </c>
      <c r="E14" s="93">
        <v>1080.2819999999999</v>
      </c>
      <c r="F14" s="24">
        <v>1091.5999999999999</v>
      </c>
      <c r="G14" s="24">
        <v>1025.8</v>
      </c>
      <c r="H14" s="93">
        <v>1048.3150000000001</v>
      </c>
      <c r="I14" s="108"/>
      <c r="J14" s="8"/>
    </row>
    <row r="15" spans="1:16" x14ac:dyDescent="0.25">
      <c r="A15" s="107" t="s">
        <v>129</v>
      </c>
      <c r="B15" s="24">
        <f t="shared" ref="B15:B44" si="8">SUM(C15:H15)</f>
        <v>1033.8979999999999</v>
      </c>
      <c r="C15" s="93">
        <v>1033.8979999999999</v>
      </c>
      <c r="D15" s="93"/>
      <c r="E15" s="93"/>
      <c r="F15" s="24"/>
      <c r="G15" s="24"/>
      <c r="H15" s="93"/>
      <c r="I15" s="108"/>
      <c r="J15" s="8"/>
    </row>
    <row r="16" spans="1:16" x14ac:dyDescent="0.25">
      <c r="A16" s="107" t="s">
        <v>130</v>
      </c>
      <c r="B16" s="24">
        <f t="shared" si="8"/>
        <v>48175.859999999993</v>
      </c>
      <c r="C16" s="93">
        <v>21412.903999999999</v>
      </c>
      <c r="D16" s="93">
        <v>6107.2969999999996</v>
      </c>
      <c r="E16" s="93">
        <v>5426.19</v>
      </c>
      <c r="F16" s="24">
        <v>4736.1149999999998</v>
      </c>
      <c r="G16" s="24">
        <v>5076.759</v>
      </c>
      <c r="H16" s="93">
        <v>5416.5950000000003</v>
      </c>
      <c r="I16" s="108"/>
      <c r="J16" s="8"/>
    </row>
    <row r="17" spans="1:10" x14ac:dyDescent="0.25">
      <c r="A17" s="107" t="s">
        <v>131</v>
      </c>
      <c r="B17" s="24">
        <f t="shared" si="8"/>
        <v>1391.6</v>
      </c>
      <c r="C17" s="93">
        <v>1006.1</v>
      </c>
      <c r="D17" s="93">
        <v>91.1</v>
      </c>
      <c r="E17" s="93">
        <v>86.7</v>
      </c>
      <c r="F17" s="24">
        <v>73.3</v>
      </c>
      <c r="G17" s="24">
        <v>67.3</v>
      </c>
      <c r="H17" s="93">
        <v>67.099999999999994</v>
      </c>
      <c r="I17" s="108"/>
      <c r="J17" s="8"/>
    </row>
    <row r="18" spans="1:10" x14ac:dyDescent="0.25">
      <c r="A18" s="107" t="s">
        <v>132</v>
      </c>
      <c r="B18" s="24">
        <f t="shared" si="8"/>
        <v>0</v>
      </c>
      <c r="C18" s="93"/>
      <c r="D18" s="24"/>
      <c r="E18" s="24"/>
      <c r="F18" s="24"/>
      <c r="G18" s="24"/>
      <c r="H18" s="24"/>
      <c r="I18" s="108"/>
      <c r="J18" s="8"/>
    </row>
    <row r="19" spans="1:10" x14ac:dyDescent="0.25">
      <c r="A19" s="109" t="s">
        <v>157</v>
      </c>
      <c r="B19" s="110">
        <f>SUM(B14:B18)</f>
        <v>57916.121999999988</v>
      </c>
      <c r="C19" s="110">
        <f>SUM(C14:C18)</f>
        <v>25492.792999999998</v>
      </c>
      <c r="D19" s="110">
        <f t="shared" ref="D19:H19" si="9">SUM(D14:D18)</f>
        <v>7227.2730000000001</v>
      </c>
      <c r="E19" s="110">
        <f t="shared" si="9"/>
        <v>6593.1719999999996</v>
      </c>
      <c r="F19" s="110">
        <f t="shared" si="9"/>
        <v>5901.0150000000003</v>
      </c>
      <c r="G19" s="110">
        <f t="shared" si="9"/>
        <v>6169.8590000000004</v>
      </c>
      <c r="H19" s="110">
        <f t="shared" si="9"/>
        <v>6532.01</v>
      </c>
      <c r="I19" s="108"/>
      <c r="J19" s="8"/>
    </row>
    <row r="20" spans="1:10" x14ac:dyDescent="0.25">
      <c r="A20" s="107" t="s">
        <v>133</v>
      </c>
      <c r="B20" s="24">
        <f t="shared" si="8"/>
        <v>23942.886999999999</v>
      </c>
      <c r="C20" s="93">
        <v>18602.825000000001</v>
      </c>
      <c r="D20" s="24">
        <v>672.46</v>
      </c>
      <c r="E20" s="24">
        <v>1523.4939999999999</v>
      </c>
      <c r="F20" s="24">
        <v>1347.36</v>
      </c>
      <c r="G20" s="24">
        <v>850.76800000000003</v>
      </c>
      <c r="H20" s="24">
        <v>945.98</v>
      </c>
      <c r="I20" s="108"/>
      <c r="J20" s="8"/>
    </row>
    <row r="21" spans="1:10" x14ac:dyDescent="0.25">
      <c r="A21" s="107" t="s">
        <v>134</v>
      </c>
      <c r="B21" s="24">
        <f t="shared" si="8"/>
        <v>7758.1660000000002</v>
      </c>
      <c r="C21" s="24">
        <v>7684.1660000000002</v>
      </c>
      <c r="D21" s="24">
        <v>10</v>
      </c>
      <c r="E21" s="24">
        <v>34</v>
      </c>
      <c r="F21" s="24">
        <v>17</v>
      </c>
      <c r="G21" s="24">
        <v>13</v>
      </c>
      <c r="H21" s="24"/>
      <c r="I21" s="108"/>
      <c r="J21" s="8"/>
    </row>
    <row r="22" spans="1:10" x14ac:dyDescent="0.25">
      <c r="A22" s="109" t="s">
        <v>135</v>
      </c>
      <c r="B22" s="110">
        <f>SUM(C22:H22)</f>
        <v>31701.053</v>
      </c>
      <c r="C22" s="110">
        <f t="shared" ref="C22:H22" si="10">SUM(C20:C21)</f>
        <v>26286.991000000002</v>
      </c>
      <c r="D22" s="110">
        <f t="shared" si="10"/>
        <v>682.46</v>
      </c>
      <c r="E22" s="110">
        <f t="shared" si="10"/>
        <v>1557.4939999999999</v>
      </c>
      <c r="F22" s="110">
        <f t="shared" si="10"/>
        <v>1364.36</v>
      </c>
      <c r="G22" s="110">
        <f t="shared" si="10"/>
        <v>863.76800000000003</v>
      </c>
      <c r="H22" s="110">
        <f t="shared" si="10"/>
        <v>945.98</v>
      </c>
      <c r="I22" s="108"/>
      <c r="J22" s="8"/>
    </row>
    <row r="23" spans="1:10" x14ac:dyDescent="0.25">
      <c r="A23" s="107" t="s">
        <v>136</v>
      </c>
      <c r="B23" s="24">
        <f t="shared" si="8"/>
        <v>7471.4709999999995</v>
      </c>
      <c r="C23" s="93">
        <v>6476.9319999999998</v>
      </c>
      <c r="D23" s="24">
        <v>372.09899999999999</v>
      </c>
      <c r="E23" s="24">
        <v>611</v>
      </c>
      <c r="F23" s="24">
        <v>11.44</v>
      </c>
      <c r="G23" s="24"/>
      <c r="H23" s="24"/>
      <c r="I23" s="108"/>
      <c r="J23" s="8"/>
    </row>
    <row r="24" spans="1:10" x14ac:dyDescent="0.25">
      <c r="A24" s="109" t="s">
        <v>137</v>
      </c>
      <c r="B24" s="110">
        <f>SUM(C24:H24)</f>
        <v>7471.4709999999995</v>
      </c>
      <c r="C24" s="110">
        <f t="shared" ref="C24:H24" si="11">C23</f>
        <v>6476.9319999999998</v>
      </c>
      <c r="D24" s="110">
        <f t="shared" si="11"/>
        <v>372.09899999999999</v>
      </c>
      <c r="E24" s="110">
        <f t="shared" si="11"/>
        <v>611</v>
      </c>
      <c r="F24" s="110">
        <f t="shared" si="11"/>
        <v>11.44</v>
      </c>
      <c r="G24" s="110">
        <f t="shared" si="11"/>
        <v>0</v>
      </c>
      <c r="H24" s="110">
        <f t="shared" si="11"/>
        <v>0</v>
      </c>
      <c r="I24" s="108"/>
      <c r="J24" s="8"/>
    </row>
    <row r="25" spans="1:10" x14ac:dyDescent="0.25">
      <c r="A25" s="111" t="s">
        <v>138</v>
      </c>
      <c r="B25" s="93">
        <f t="shared" si="8"/>
        <v>13864.147999999999</v>
      </c>
      <c r="C25" s="93">
        <v>9712.848</v>
      </c>
      <c r="D25" s="93">
        <v>850</v>
      </c>
      <c r="E25" s="93">
        <v>1526</v>
      </c>
      <c r="F25" s="93">
        <v>966</v>
      </c>
      <c r="G25" s="93">
        <v>371.3</v>
      </c>
      <c r="H25" s="93">
        <v>438</v>
      </c>
      <c r="I25" s="108"/>
      <c r="J25" s="8"/>
    </row>
    <row r="26" spans="1:10" x14ac:dyDescent="0.25">
      <c r="A26" s="111" t="s">
        <v>139</v>
      </c>
      <c r="B26" s="93">
        <f t="shared" si="8"/>
        <v>0</v>
      </c>
      <c r="C26" s="93"/>
      <c r="D26" s="93"/>
      <c r="E26" s="93"/>
      <c r="F26" s="93"/>
      <c r="G26" s="93"/>
      <c r="H26" s="93"/>
      <c r="I26" s="108"/>
      <c r="J26" s="8"/>
    </row>
    <row r="27" spans="1:10" x14ac:dyDescent="0.25">
      <c r="A27" s="107" t="s">
        <v>140</v>
      </c>
      <c r="B27" s="24">
        <f t="shared" si="8"/>
        <v>9768.2720000000008</v>
      </c>
      <c r="C27" s="93">
        <v>8437.7790000000005</v>
      </c>
      <c r="D27" s="24">
        <v>247.2</v>
      </c>
      <c r="E27" s="24">
        <v>429.01</v>
      </c>
      <c r="F27" s="24">
        <v>511.18299999999999</v>
      </c>
      <c r="G27" s="24">
        <v>111.3</v>
      </c>
      <c r="H27" s="24">
        <v>31.8</v>
      </c>
      <c r="I27" s="108"/>
      <c r="J27" s="8"/>
    </row>
    <row r="28" spans="1:10" x14ac:dyDescent="0.25">
      <c r="A28" s="107" t="s">
        <v>141</v>
      </c>
      <c r="B28" s="24">
        <f t="shared" si="8"/>
        <v>700</v>
      </c>
      <c r="C28" s="93">
        <v>700</v>
      </c>
      <c r="D28" s="24"/>
      <c r="E28" s="24"/>
      <c r="F28" s="24"/>
      <c r="G28" s="24"/>
      <c r="H28" s="24"/>
      <c r="I28" s="108"/>
      <c r="J28" s="8"/>
    </row>
    <row r="29" spans="1:10" x14ac:dyDescent="0.25">
      <c r="A29" s="109" t="s">
        <v>158</v>
      </c>
      <c r="B29" s="110">
        <f>SUM(C29:H29)</f>
        <v>24332.42</v>
      </c>
      <c r="C29" s="110">
        <f t="shared" ref="C29:H29" si="12">SUM(C25:C28)</f>
        <v>18850.627</v>
      </c>
      <c r="D29" s="110">
        <f t="shared" si="12"/>
        <v>1097.2</v>
      </c>
      <c r="E29" s="110">
        <f t="shared" si="12"/>
        <v>1955.01</v>
      </c>
      <c r="F29" s="110">
        <f t="shared" si="12"/>
        <v>1477.183</v>
      </c>
      <c r="G29" s="110">
        <f t="shared" si="12"/>
        <v>482.6</v>
      </c>
      <c r="H29" s="110">
        <f t="shared" si="12"/>
        <v>469.8</v>
      </c>
      <c r="I29" s="108"/>
      <c r="J29" s="8"/>
    </row>
    <row r="30" spans="1:10" x14ac:dyDescent="0.25">
      <c r="A30" s="107" t="s">
        <v>142</v>
      </c>
      <c r="B30" s="24">
        <f t="shared" si="8"/>
        <v>1699.8999999999999</v>
      </c>
      <c r="C30" s="93">
        <v>1642.8</v>
      </c>
      <c r="D30" s="24">
        <v>44.1</v>
      </c>
      <c r="E30" s="24">
        <v>13</v>
      </c>
      <c r="F30" s="24"/>
      <c r="G30" s="24"/>
      <c r="H30" s="24"/>
      <c r="I30" s="108"/>
      <c r="J30" s="8"/>
    </row>
    <row r="31" spans="1:10" x14ac:dyDescent="0.25">
      <c r="A31" s="109" t="s">
        <v>159</v>
      </c>
      <c r="B31" s="110">
        <f>SUM(C31:H31)</f>
        <v>1699.8999999999999</v>
      </c>
      <c r="C31" s="110">
        <f t="shared" ref="C31:H31" si="13">C30</f>
        <v>1642.8</v>
      </c>
      <c r="D31" s="110">
        <f t="shared" si="13"/>
        <v>44.1</v>
      </c>
      <c r="E31" s="110">
        <f t="shared" si="13"/>
        <v>13</v>
      </c>
      <c r="F31" s="110">
        <f t="shared" si="13"/>
        <v>0</v>
      </c>
      <c r="G31" s="110">
        <f t="shared" si="13"/>
        <v>0</v>
      </c>
      <c r="H31" s="110">
        <f t="shared" si="13"/>
        <v>0</v>
      </c>
      <c r="I31" s="108"/>
      <c r="J31" s="8"/>
    </row>
    <row r="32" spans="1:10" x14ac:dyDescent="0.25">
      <c r="A32" s="107" t="s">
        <v>143</v>
      </c>
      <c r="B32" s="24">
        <f t="shared" si="8"/>
        <v>211.07599999999999</v>
      </c>
      <c r="C32" s="93">
        <v>78.930999999999997</v>
      </c>
      <c r="D32" s="93">
        <v>26.5</v>
      </c>
      <c r="E32" s="93">
        <v>65</v>
      </c>
      <c r="F32" s="24">
        <v>18.145</v>
      </c>
      <c r="G32" s="24">
        <v>12.5</v>
      </c>
      <c r="H32" s="24">
        <v>10</v>
      </c>
      <c r="I32" s="108"/>
      <c r="J32" s="8"/>
    </row>
    <row r="33" spans="1:10" x14ac:dyDescent="0.25">
      <c r="A33" s="107" t="s">
        <v>144</v>
      </c>
      <c r="B33" s="24">
        <f t="shared" si="8"/>
        <v>5470.6429999999991</v>
      </c>
      <c r="C33" s="93">
        <v>5104.6880000000001</v>
      </c>
      <c r="D33" s="93">
        <v>56</v>
      </c>
      <c r="E33" s="93">
        <v>62.917999999999999</v>
      </c>
      <c r="F33" s="24">
        <v>11.369</v>
      </c>
      <c r="G33" s="24">
        <v>185.161</v>
      </c>
      <c r="H33" s="24">
        <v>50.506999999999998</v>
      </c>
      <c r="I33" s="108"/>
      <c r="J33" s="8"/>
    </row>
    <row r="34" spans="1:10" x14ac:dyDescent="0.25">
      <c r="A34" s="107" t="s">
        <v>145</v>
      </c>
      <c r="B34" s="24">
        <f t="shared" si="8"/>
        <v>0</v>
      </c>
      <c r="C34" s="93"/>
      <c r="D34" s="93"/>
      <c r="E34" s="93"/>
      <c r="F34" s="24"/>
      <c r="G34" s="24"/>
      <c r="H34" s="24"/>
      <c r="I34" s="108"/>
      <c r="J34" s="8"/>
    </row>
    <row r="35" spans="1:10" x14ac:dyDescent="0.25">
      <c r="A35" s="107" t="s">
        <v>146</v>
      </c>
      <c r="B35" s="24">
        <f t="shared" si="8"/>
        <v>407</v>
      </c>
      <c r="C35" s="93">
        <v>332</v>
      </c>
      <c r="D35" s="93">
        <v>30</v>
      </c>
      <c r="E35" s="93">
        <v>45</v>
      </c>
      <c r="F35" s="24"/>
      <c r="G35" s="24"/>
      <c r="H35" s="24"/>
      <c r="I35" s="108"/>
      <c r="J35" s="8"/>
    </row>
    <row r="36" spans="1:10" x14ac:dyDescent="0.25">
      <c r="A36" s="107" t="s">
        <v>147</v>
      </c>
      <c r="B36" s="24">
        <f t="shared" si="8"/>
        <v>0</v>
      </c>
      <c r="C36" s="24"/>
      <c r="D36" s="24"/>
      <c r="E36" s="24"/>
      <c r="F36" s="24"/>
      <c r="G36" s="24"/>
      <c r="H36" s="24"/>
      <c r="I36" s="108"/>
      <c r="J36" s="8"/>
    </row>
    <row r="37" spans="1:10" x14ac:dyDescent="0.25">
      <c r="A37" s="107" t="s">
        <v>148</v>
      </c>
      <c r="B37" s="24">
        <f t="shared" si="8"/>
        <v>0</v>
      </c>
      <c r="C37" s="24"/>
      <c r="D37" s="24"/>
      <c r="E37" s="24"/>
      <c r="F37" s="24"/>
      <c r="G37" s="24"/>
      <c r="H37" s="24"/>
      <c r="I37" s="108"/>
      <c r="J37" s="8"/>
    </row>
    <row r="38" spans="1:10" x14ac:dyDescent="0.25">
      <c r="A38" s="107" t="s">
        <v>149</v>
      </c>
      <c r="B38" s="24">
        <f t="shared" si="8"/>
        <v>171.93</v>
      </c>
      <c r="C38" s="24">
        <v>120</v>
      </c>
      <c r="D38" s="24">
        <v>51.93</v>
      </c>
      <c r="E38" s="24"/>
      <c r="F38" s="24"/>
      <c r="G38" s="24"/>
      <c r="H38" s="24"/>
      <c r="I38" s="108"/>
      <c r="J38" s="8"/>
    </row>
    <row r="39" spans="1:10" x14ac:dyDescent="0.25">
      <c r="A39" s="107" t="s">
        <v>150</v>
      </c>
      <c r="B39" s="24">
        <f t="shared" si="8"/>
        <v>2123</v>
      </c>
      <c r="C39" s="93">
        <v>270</v>
      </c>
      <c r="D39" s="24"/>
      <c r="E39" s="24"/>
      <c r="F39" s="24"/>
      <c r="G39" s="24">
        <v>1800</v>
      </c>
      <c r="H39" s="24">
        <v>53</v>
      </c>
      <c r="I39" s="108"/>
      <c r="J39" s="8"/>
    </row>
    <row r="40" spans="1:10" x14ac:dyDescent="0.25">
      <c r="A40" s="107" t="s">
        <v>151</v>
      </c>
      <c r="B40" s="24">
        <f t="shared" si="8"/>
        <v>0</v>
      </c>
      <c r="C40" s="93"/>
      <c r="D40" s="24"/>
      <c r="E40" s="24"/>
      <c r="F40" s="24"/>
      <c r="G40" s="24"/>
      <c r="H40" s="24"/>
      <c r="I40" s="108"/>
      <c r="J40" s="8"/>
    </row>
    <row r="41" spans="1:10" x14ac:dyDescent="0.25">
      <c r="A41" s="107" t="s">
        <v>152</v>
      </c>
      <c r="B41" s="24">
        <f t="shared" si="8"/>
        <v>1420.365</v>
      </c>
      <c r="C41" s="93">
        <v>1240</v>
      </c>
      <c r="D41" s="24">
        <v>60</v>
      </c>
      <c r="E41" s="24">
        <v>80</v>
      </c>
      <c r="F41" s="24">
        <v>16.364999999999998</v>
      </c>
      <c r="G41" s="24">
        <v>24</v>
      </c>
      <c r="H41" s="24"/>
      <c r="I41" s="108"/>
      <c r="J41" s="8"/>
    </row>
    <row r="42" spans="1:10" x14ac:dyDescent="0.25">
      <c r="A42" s="107" t="s">
        <v>153</v>
      </c>
      <c r="B42" s="24">
        <f t="shared" si="8"/>
        <v>0</v>
      </c>
      <c r="C42" s="24"/>
      <c r="D42" s="24"/>
      <c r="E42" s="24"/>
      <c r="F42" s="24"/>
      <c r="G42" s="24"/>
      <c r="H42" s="24"/>
      <c r="I42" s="108"/>
      <c r="J42" s="8"/>
    </row>
    <row r="43" spans="1:10" x14ac:dyDescent="0.25">
      <c r="A43" s="107" t="s">
        <v>154</v>
      </c>
      <c r="B43" s="24">
        <f t="shared" si="8"/>
        <v>450</v>
      </c>
      <c r="C43" s="24">
        <v>450</v>
      </c>
      <c r="D43" s="24"/>
      <c r="E43" s="24"/>
      <c r="F43" s="24"/>
      <c r="G43" s="24"/>
      <c r="H43" s="24"/>
      <c r="I43" s="108"/>
      <c r="J43" s="8"/>
    </row>
    <row r="44" spans="1:10" x14ac:dyDescent="0.25">
      <c r="A44" s="107" t="s">
        <v>155</v>
      </c>
      <c r="B44" s="24">
        <f t="shared" si="8"/>
        <v>450</v>
      </c>
      <c r="C44" s="24">
        <v>450</v>
      </c>
      <c r="D44" s="24"/>
      <c r="E44" s="24"/>
      <c r="F44" s="24"/>
      <c r="G44" s="24"/>
      <c r="H44" s="24"/>
      <c r="I44" s="108"/>
      <c r="J44" s="8"/>
    </row>
    <row r="45" spans="1:10" x14ac:dyDescent="0.25">
      <c r="A45" s="109" t="s">
        <v>160</v>
      </c>
      <c r="B45" s="110">
        <f>SUM(C45:H45)</f>
        <v>10704.013999999999</v>
      </c>
      <c r="C45" s="110">
        <f>SUM(C32:C44)</f>
        <v>8045.6189999999997</v>
      </c>
      <c r="D45" s="110">
        <f t="shared" ref="D45:H45" si="14">SUM(D32:D42)</f>
        <v>224.43</v>
      </c>
      <c r="E45" s="110">
        <f t="shared" si="14"/>
        <v>252.91800000000001</v>
      </c>
      <c r="F45" s="110">
        <f t="shared" si="14"/>
        <v>45.878999999999998</v>
      </c>
      <c r="G45" s="110">
        <f t="shared" si="14"/>
        <v>2021.6610000000001</v>
      </c>
      <c r="H45" s="110">
        <f t="shared" si="14"/>
        <v>113.50700000000001</v>
      </c>
      <c r="I45" s="108"/>
      <c r="J45" s="8"/>
    </row>
    <row r="46" spans="1:10" x14ac:dyDescent="0.25">
      <c r="A46" s="107"/>
      <c r="B46" s="24">
        <f t="shared" ref="B46:H46" si="15">SUM(B45,B31,B29,B24,B22,B19)</f>
        <v>133824.97999999998</v>
      </c>
      <c r="C46" s="24">
        <f t="shared" si="15"/>
        <v>86795.762000000002</v>
      </c>
      <c r="D46" s="24">
        <f t="shared" si="15"/>
        <v>9647.5619999999999</v>
      </c>
      <c r="E46" s="24">
        <f t="shared" si="15"/>
        <v>10982.593999999999</v>
      </c>
      <c r="F46" s="24">
        <f t="shared" si="15"/>
        <v>8799.8770000000004</v>
      </c>
      <c r="G46" s="24">
        <f t="shared" si="15"/>
        <v>9537.8880000000008</v>
      </c>
      <c r="H46" s="24">
        <f t="shared" si="15"/>
        <v>8061.2970000000005</v>
      </c>
    </row>
    <row r="47" spans="1:10" x14ac:dyDescent="0.25">
      <c r="A47" s="82"/>
    </row>
    <row r="48" spans="1:10" x14ac:dyDescent="0.25">
      <c r="A48" s="82"/>
      <c r="B48" s="25"/>
    </row>
    <row r="49" spans="1:14" x14ac:dyDescent="0.25">
      <c r="A49" s="82"/>
      <c r="N49" s="83"/>
    </row>
    <row r="50" spans="1:14" x14ac:dyDescent="0.25">
      <c r="A50" s="82"/>
    </row>
    <row r="51" spans="1:14" x14ac:dyDescent="0.25">
      <c r="A51" s="82"/>
    </row>
    <row r="52" spans="1:14" x14ac:dyDescent="0.25">
      <c r="A52" s="82"/>
    </row>
    <row r="53" spans="1:14" x14ac:dyDescent="0.25">
      <c r="A53" s="82"/>
    </row>
    <row r="54" spans="1:14" x14ac:dyDescent="0.25">
      <c r="A54" s="82"/>
    </row>
    <row r="55" spans="1:14" x14ac:dyDescent="0.25">
      <c r="A55" s="82"/>
    </row>
    <row r="56" spans="1:14" x14ac:dyDescent="0.25">
      <c r="A56" s="82"/>
    </row>
    <row r="57" spans="1:14" x14ac:dyDescent="0.25">
      <c r="A57" s="82"/>
    </row>
    <row r="58" spans="1:14" x14ac:dyDescent="0.25">
      <c r="A58" s="82"/>
    </row>
    <row r="59" spans="1:14" x14ac:dyDescent="0.25">
      <c r="A59" s="82"/>
    </row>
    <row r="60" spans="1:14" x14ac:dyDescent="0.25">
      <c r="A60" s="82"/>
    </row>
  </sheetData>
  <mergeCells count="9">
    <mergeCell ref="A1:O1"/>
    <mergeCell ref="B2:C2"/>
    <mergeCell ref="D2:E2"/>
    <mergeCell ref="F2:G2"/>
    <mergeCell ref="H2:I2"/>
    <mergeCell ref="J2:K2"/>
    <mergeCell ref="L2:M2"/>
    <mergeCell ref="N2:O2"/>
    <mergeCell ref="A2:A3"/>
  </mergeCells>
  <pageMargins left="0.70866141732283472" right="0.70866141732283472" top="0.94488188976377963" bottom="0.94488188976377963" header="0.31496062992125984" footer="0.31496062992125984"/>
  <pageSetup paperSize="9" scale="48" firstPageNumber="103" orientation="landscape" useFirstPageNumber="1" r:id="rId1"/>
  <headerFooter scaleWithDoc="0">
    <oddFooter xml:space="preserve">&amp;C
&amp;"Times New Roman,обычный"&amp;12 &amp;P&amp;"Arial,обычный"&amp;10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Z15"/>
  <sheetViews>
    <sheetView zoomScaleNormal="100" workbookViewId="0">
      <selection activeCell="H57" sqref="H57"/>
    </sheetView>
  </sheetViews>
  <sheetFormatPr defaultRowHeight="15.75" x14ac:dyDescent="0.25"/>
  <cols>
    <col min="1" max="1" width="19.28515625" style="2" customWidth="1"/>
    <col min="2" max="2" width="10.85546875" style="9" customWidth="1"/>
    <col min="3" max="3" width="14.7109375" style="2" customWidth="1"/>
    <col min="4" max="4" width="10" style="2" customWidth="1"/>
    <col min="5" max="5" width="9.85546875" style="2" customWidth="1"/>
    <col min="6" max="6" width="9" style="2" customWidth="1"/>
    <col min="7" max="7" width="10.85546875" style="2" customWidth="1"/>
    <col min="8" max="8" width="14.7109375" style="2" customWidth="1"/>
    <col min="9" max="9" width="10.42578125" style="2" customWidth="1"/>
    <col min="10" max="10" width="9.7109375" style="2" customWidth="1"/>
    <col min="11" max="11" width="8.7109375" style="2" customWidth="1"/>
    <col min="12" max="12" width="10.85546875" style="2" customWidth="1"/>
    <col min="13" max="13" width="14.7109375" style="2" customWidth="1"/>
    <col min="14" max="14" width="10" style="2" customWidth="1"/>
    <col min="15" max="15" width="10.85546875" style="2" customWidth="1"/>
    <col min="16" max="16" width="14.7109375" style="2" customWidth="1"/>
    <col min="17" max="17" width="11.140625" style="2" customWidth="1"/>
    <col min="18" max="18" width="10.85546875" style="2" customWidth="1"/>
    <col min="19" max="19" width="14.7109375" style="2" customWidth="1"/>
    <col min="20" max="20" width="10.28515625" style="2" customWidth="1"/>
    <col min="21" max="21" width="10.85546875" style="2" customWidth="1"/>
    <col min="22" max="22" width="15.28515625" style="2" customWidth="1"/>
    <col min="23" max="23" width="9.7109375" style="2" customWidth="1"/>
    <col min="24" max="24" width="12" style="2" customWidth="1"/>
    <col min="25" max="25" width="16.5703125" style="2" customWidth="1"/>
    <col min="26" max="16384" width="9.140625" style="2"/>
  </cols>
  <sheetData>
    <row r="1" spans="1:26" x14ac:dyDescent="0.25">
      <c r="A1" s="224" t="s">
        <v>0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  <c r="T1" s="225"/>
      <c r="U1" s="225"/>
      <c r="V1" s="225"/>
      <c r="W1" s="225"/>
      <c r="X1" s="225"/>
      <c r="Y1" s="225"/>
    </row>
    <row r="2" spans="1:26" x14ac:dyDescent="0.25">
      <c r="A2" s="224" t="s">
        <v>161</v>
      </c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  <c r="S2" s="225"/>
      <c r="T2" s="225"/>
      <c r="U2" s="225"/>
      <c r="V2" s="225"/>
      <c r="W2" s="225"/>
      <c r="X2" s="225"/>
      <c r="Y2" s="225"/>
    </row>
    <row r="4" spans="1:26" ht="97.5" customHeight="1" x14ac:dyDescent="0.25">
      <c r="A4" s="206" t="s">
        <v>1</v>
      </c>
      <c r="B4" s="203" t="s">
        <v>162</v>
      </c>
      <c r="C4" s="204"/>
      <c r="D4" s="204"/>
      <c r="E4" s="204"/>
      <c r="F4" s="205"/>
      <c r="G4" s="208" t="s">
        <v>163</v>
      </c>
      <c r="H4" s="204"/>
      <c r="I4" s="204"/>
      <c r="J4" s="204"/>
      <c r="K4" s="205"/>
      <c r="L4" s="203" t="s">
        <v>164</v>
      </c>
      <c r="M4" s="204"/>
      <c r="N4" s="205"/>
      <c r="O4" s="209" t="s">
        <v>165</v>
      </c>
      <c r="P4" s="210"/>
      <c r="Q4" s="210"/>
      <c r="R4" s="203" t="s">
        <v>77</v>
      </c>
      <c r="S4" s="204"/>
      <c r="T4" s="205"/>
      <c r="U4" s="203" t="s">
        <v>166</v>
      </c>
      <c r="V4" s="204"/>
      <c r="W4" s="204"/>
      <c r="X4" s="205"/>
      <c r="Y4" s="206" t="s">
        <v>10</v>
      </c>
    </row>
    <row r="5" spans="1:26" ht="121.5" customHeight="1" x14ac:dyDescent="0.25">
      <c r="A5" s="207"/>
      <c r="B5" s="11" t="s">
        <v>2</v>
      </c>
      <c r="C5" s="12" t="s">
        <v>3</v>
      </c>
      <c r="D5" s="27" t="s">
        <v>4</v>
      </c>
      <c r="E5" s="27" t="s">
        <v>5</v>
      </c>
      <c r="F5" s="13" t="s">
        <v>29</v>
      </c>
      <c r="G5" s="14" t="s">
        <v>2</v>
      </c>
      <c r="H5" s="12" t="s">
        <v>3</v>
      </c>
      <c r="I5" s="27" t="s">
        <v>4</v>
      </c>
      <c r="J5" s="27" t="s">
        <v>6</v>
      </c>
      <c r="K5" s="13" t="s">
        <v>29</v>
      </c>
      <c r="L5" s="14" t="s">
        <v>2</v>
      </c>
      <c r="M5" s="15" t="s">
        <v>3</v>
      </c>
      <c r="N5" s="13" t="s">
        <v>29</v>
      </c>
      <c r="O5" s="14" t="s">
        <v>2</v>
      </c>
      <c r="P5" s="27" t="s">
        <v>7</v>
      </c>
      <c r="Q5" s="13" t="s">
        <v>29</v>
      </c>
      <c r="R5" s="14" t="s">
        <v>2</v>
      </c>
      <c r="S5" s="27" t="s">
        <v>8</v>
      </c>
      <c r="T5" s="13" t="s">
        <v>29</v>
      </c>
      <c r="U5" s="14" t="s">
        <v>2</v>
      </c>
      <c r="V5" s="27" t="s">
        <v>9</v>
      </c>
      <c r="W5" s="27" t="s">
        <v>6</v>
      </c>
      <c r="X5" s="13" t="s">
        <v>29</v>
      </c>
      <c r="Y5" s="207"/>
    </row>
    <row r="6" spans="1:26" x14ac:dyDescent="0.25">
      <c r="A6" s="16">
        <v>1</v>
      </c>
      <c r="B6" s="17">
        <v>2</v>
      </c>
      <c r="C6" s="16">
        <v>3</v>
      </c>
      <c r="D6" s="16">
        <v>4</v>
      </c>
      <c r="E6" s="16">
        <v>5</v>
      </c>
      <c r="F6" s="18">
        <v>6</v>
      </c>
      <c r="G6" s="19">
        <v>7</v>
      </c>
      <c r="H6" s="16">
        <v>8</v>
      </c>
      <c r="I6" s="16">
        <v>9</v>
      </c>
      <c r="J6" s="16">
        <v>10</v>
      </c>
      <c r="K6" s="18">
        <v>11</v>
      </c>
      <c r="L6" s="19">
        <v>12</v>
      </c>
      <c r="M6" s="20">
        <v>13</v>
      </c>
      <c r="N6" s="18">
        <v>14</v>
      </c>
      <c r="O6" s="19">
        <v>15</v>
      </c>
      <c r="P6" s="16">
        <v>16</v>
      </c>
      <c r="Q6" s="18">
        <v>17</v>
      </c>
      <c r="R6" s="19">
        <v>18</v>
      </c>
      <c r="S6" s="16">
        <v>19</v>
      </c>
      <c r="T6" s="18">
        <v>20</v>
      </c>
      <c r="U6" s="19">
        <v>21</v>
      </c>
      <c r="V6" s="16">
        <v>22</v>
      </c>
      <c r="W6" s="16">
        <v>23</v>
      </c>
      <c r="X6" s="18">
        <v>24</v>
      </c>
      <c r="Y6" s="16">
        <v>25</v>
      </c>
    </row>
    <row r="7" spans="1:26" x14ac:dyDescent="0.25">
      <c r="A7" s="1" t="s">
        <v>12</v>
      </c>
      <c r="B7" s="112">
        <f>'Удельный вес расходов'!B5</f>
        <v>0.29399999999999998</v>
      </c>
      <c r="C7" s="26">
        <f>'Коэф. удорож. стоим. ЖКУ'!C6</f>
        <v>0.82399999999999995</v>
      </c>
      <c r="D7" s="26">
        <f>'Коэф. дифференциации зп'!H7</f>
        <v>1.0099286302570094</v>
      </c>
      <c r="E7" s="26">
        <f>'Коэф. трансп. доступности'!H7</f>
        <v>0.35499999999999998</v>
      </c>
      <c r="F7" s="113">
        <f t="shared" ref="F7:F13" si="0">ROUND(B7*C7*D7*E7,3)</f>
        <v>8.6999999999999994E-2</v>
      </c>
      <c r="G7" s="112">
        <f>'Удельный вес расходов'!D5</f>
        <v>0.30299999999999999</v>
      </c>
      <c r="H7" s="26">
        <f>'Коэф. удорож. стоим. ЖКУ'!C6</f>
        <v>0.82399999999999995</v>
      </c>
      <c r="I7" s="26">
        <f>'Коэф. дифференциации зп'!H7</f>
        <v>1.0099286302570094</v>
      </c>
      <c r="J7" s="26">
        <f>'Коэф. урбанизации'!E7</f>
        <v>1</v>
      </c>
      <c r="K7" s="113">
        <f>ROUND(G7*H7*I7*J7,3)</f>
        <v>0.252</v>
      </c>
      <c r="L7" s="112">
        <f>'Удельный вес расходов'!F5</f>
        <v>7.4999999999999997E-2</v>
      </c>
      <c r="M7" s="26">
        <f>'Коэф. удорож. стоим. ЖКУ'!C6</f>
        <v>0.82399999999999995</v>
      </c>
      <c r="N7" s="113">
        <f>ROUND(L7*M7,3)</f>
        <v>6.2E-2</v>
      </c>
      <c r="O7" s="112">
        <f>'Удельный вес расходов'!H5</f>
        <v>0.217</v>
      </c>
      <c r="P7" s="26">
        <f>'Коэф. благоустройства'!H6</f>
        <v>3.1642986122896315</v>
      </c>
      <c r="Q7" s="113">
        <f>ROUND(O7*P7,3)</f>
        <v>0.68700000000000006</v>
      </c>
      <c r="R7" s="112">
        <f>'Удельный вес расходов'!J5</f>
        <v>1.9E-2</v>
      </c>
      <c r="S7" s="26">
        <f>'Коэф. структ. жил. фонда'!F7</f>
        <v>0.46200000000000002</v>
      </c>
      <c r="T7" s="113">
        <f>ROUND(R7*S7,3)</f>
        <v>8.9999999999999993E-3</v>
      </c>
      <c r="U7" s="112">
        <f>'Удельный вес расходов'!L5</f>
        <v>9.2999999999999999E-2</v>
      </c>
      <c r="V7" s="26">
        <f>'Коэф. концентр. населения'!D8</f>
        <v>1.0109999999999999</v>
      </c>
      <c r="W7" s="26">
        <f>'Коэф. урбанизации'!E7</f>
        <v>1</v>
      </c>
      <c r="X7" s="113">
        <f>ROUND(U7*V7*W7,3)</f>
        <v>9.4E-2</v>
      </c>
      <c r="Y7" s="26">
        <f>ROUND(F7+K7+N7+Q7+T7+X7,3)</f>
        <v>1.1910000000000001</v>
      </c>
    </row>
    <row r="8" spans="1:26" x14ac:dyDescent="0.25">
      <c r="A8" s="1" t="s">
        <v>13</v>
      </c>
      <c r="B8" s="112">
        <f>'Удельный вес расходов'!B6</f>
        <v>0.749</v>
      </c>
      <c r="C8" s="26">
        <f>'Коэф. удорож. стоим. ЖКУ'!C7</f>
        <v>1.3049999999999999</v>
      </c>
      <c r="D8" s="26">
        <f>'Коэф. дифференциации зп'!H8</f>
        <v>1.9975540154912355</v>
      </c>
      <c r="E8" s="26">
        <f>'Коэф. трансп. доступности'!H8</f>
        <v>0.75327225130890052</v>
      </c>
      <c r="F8" s="113">
        <f t="shared" si="0"/>
        <v>1.4710000000000001</v>
      </c>
      <c r="G8" s="112">
        <f>'Удельный вес расходов'!D6</f>
        <v>7.0999999999999994E-2</v>
      </c>
      <c r="H8" s="26">
        <f>'Коэф. удорож. стоим. ЖКУ'!C7</f>
        <v>1.3049999999999999</v>
      </c>
      <c r="I8" s="26">
        <f>'Коэф. дифференциации зп'!H8</f>
        <v>1.9975540154912355</v>
      </c>
      <c r="J8" s="26">
        <f>'Коэф. урбанизации'!E8</f>
        <v>1</v>
      </c>
      <c r="K8" s="113">
        <f t="shared" ref="K8:K13" si="1">ROUND(G8*H8*I8*J8,3)</f>
        <v>0.185</v>
      </c>
      <c r="L8" s="112">
        <f>'Удельный вес расходов'!F6</f>
        <v>3.9E-2</v>
      </c>
      <c r="M8" s="26">
        <f>'Коэф. удорож. стоим. ЖКУ'!C7</f>
        <v>1.3049999999999999</v>
      </c>
      <c r="N8" s="113">
        <f t="shared" ref="N8:N13" si="2">ROUND(L8*M8,3)</f>
        <v>5.0999999999999997E-2</v>
      </c>
      <c r="O8" s="112">
        <f>'Удельный вес расходов'!H6</f>
        <v>0.114</v>
      </c>
      <c r="P8" s="26">
        <f>'Коэф. благоустройства'!H7</f>
        <v>1.4142821160548151</v>
      </c>
      <c r="Q8" s="113">
        <f t="shared" ref="Q8:Q13" si="3">ROUND(O8*P8,3)</f>
        <v>0.161</v>
      </c>
      <c r="R8" s="112">
        <f>'Удельный вес расходов'!J6</f>
        <v>5.0000000000000001E-3</v>
      </c>
      <c r="S8" s="26">
        <f>'Коэф. структ. жил. фонда'!F8</f>
        <v>1.9179999999999999</v>
      </c>
      <c r="T8" s="113">
        <f t="shared" ref="T8:T13" si="4">ROUND(R8*S8,3)</f>
        <v>0.01</v>
      </c>
      <c r="U8" s="112">
        <f>'Удельный вес расходов'!L6</f>
        <v>2.3E-2</v>
      </c>
      <c r="V8" s="26">
        <f>'Коэф. концентр. населения'!D9</f>
        <v>1</v>
      </c>
      <c r="W8" s="26">
        <f>'Коэф. урбанизации'!E8</f>
        <v>1</v>
      </c>
      <c r="X8" s="113">
        <f t="shared" ref="X8:X13" si="5">ROUND(U8*V8*W8,3)</f>
        <v>2.3E-2</v>
      </c>
      <c r="Y8" s="26">
        <f>ROUND(F8+K8+N8+Q8+T8+X8,3)</f>
        <v>1.901</v>
      </c>
    </row>
    <row r="9" spans="1:26" x14ac:dyDescent="0.25">
      <c r="A9" s="1" t="s">
        <v>14</v>
      </c>
      <c r="B9" s="112">
        <f>'Удельный вес расходов'!B7</f>
        <v>0.6</v>
      </c>
      <c r="C9" s="26">
        <f>'Коэф. удорож. стоим. ЖКУ'!C8</f>
        <v>1.5860000000000001</v>
      </c>
      <c r="D9" s="26">
        <f>'Коэф. дифференциации зп'!H9</f>
        <v>1.9975540154912355</v>
      </c>
      <c r="E9" s="26">
        <f>'Коэф. трансп. доступности'!H9</f>
        <v>1.3819999999999999</v>
      </c>
      <c r="F9" s="113">
        <f t="shared" si="0"/>
        <v>2.6269999999999998</v>
      </c>
      <c r="G9" s="112">
        <f>'Удельный вес расходов'!D7</f>
        <v>0.14199999999999999</v>
      </c>
      <c r="H9" s="26">
        <f>'Коэф. удорож. стоим. ЖКУ'!C8</f>
        <v>1.5860000000000001</v>
      </c>
      <c r="I9" s="26">
        <f>'Коэф. дифференциации зп'!H9</f>
        <v>1.9975540154912355</v>
      </c>
      <c r="J9" s="26">
        <f>'Коэф. урбанизации'!E9</f>
        <v>1</v>
      </c>
      <c r="K9" s="113">
        <f t="shared" si="1"/>
        <v>0.45</v>
      </c>
      <c r="L9" s="112">
        <f>'Удельный вес расходов'!F7</f>
        <v>5.6000000000000001E-2</v>
      </c>
      <c r="M9" s="26">
        <f>'Коэф. удорож. стоим. ЖКУ'!C8</f>
        <v>1.5860000000000001</v>
      </c>
      <c r="N9" s="113">
        <f t="shared" si="2"/>
        <v>8.8999999999999996E-2</v>
      </c>
      <c r="O9" s="112">
        <f>'Удельный вес расходов'!H7</f>
        <v>0.17799999999999999</v>
      </c>
      <c r="P9" s="26">
        <f>'Коэф. благоустройства'!H8</f>
        <v>1.7119849459678751</v>
      </c>
      <c r="Q9" s="113">
        <f t="shared" si="3"/>
        <v>0.30499999999999999</v>
      </c>
      <c r="R9" s="112">
        <f>'Удельный вес расходов'!J7</f>
        <v>1E-3</v>
      </c>
      <c r="S9" s="26">
        <f>'Коэф. структ. жил. фонда'!F9</f>
        <v>5</v>
      </c>
      <c r="T9" s="113">
        <f t="shared" si="4"/>
        <v>5.0000000000000001E-3</v>
      </c>
      <c r="U9" s="112">
        <f>'Удельный вес расходов'!L7</f>
        <v>2.3E-2</v>
      </c>
      <c r="V9" s="26">
        <f>'Коэф. концентр. населения'!D10</f>
        <v>1</v>
      </c>
      <c r="W9" s="26">
        <f>'Коэф. урбанизации'!E9</f>
        <v>1</v>
      </c>
      <c r="X9" s="113">
        <f t="shared" si="5"/>
        <v>2.3E-2</v>
      </c>
      <c r="Y9" s="26">
        <f>ROUND(F9+K9+N9+Q9+T9+X9,3)</f>
        <v>3.4990000000000001</v>
      </c>
    </row>
    <row r="10" spans="1:26" x14ac:dyDescent="0.25">
      <c r="A10" s="1" t="s">
        <v>15</v>
      </c>
      <c r="B10" s="112">
        <f>'Удельный вес расходов'!B8</f>
        <v>0.67100000000000004</v>
      </c>
      <c r="C10" s="26">
        <f>'Коэф. удорож. стоим. ЖКУ'!C9</f>
        <v>3.7050000000000001</v>
      </c>
      <c r="D10" s="26">
        <f>'Коэф. дифференциации зп'!H10</f>
        <v>1.9975540154912355</v>
      </c>
      <c r="E10" s="26">
        <f>'Коэф. трансп. доступности'!H10</f>
        <v>2.2189999999999999</v>
      </c>
      <c r="F10" s="113">
        <f t="shared" si="0"/>
        <v>11.02</v>
      </c>
      <c r="G10" s="112">
        <f>'Удельный вес расходов'!D8</f>
        <v>0.155</v>
      </c>
      <c r="H10" s="26">
        <f>'Коэф. удорож. стоим. ЖКУ'!C9</f>
        <v>3.7050000000000001</v>
      </c>
      <c r="I10" s="26">
        <f>'Коэф. дифференциации зп'!H10</f>
        <v>1.9975540154912355</v>
      </c>
      <c r="J10" s="26">
        <f>'Коэф. урбанизации'!E10</f>
        <v>1</v>
      </c>
      <c r="K10" s="113">
        <f t="shared" si="1"/>
        <v>1.147</v>
      </c>
      <c r="L10" s="112">
        <f>'Удельный вес расходов'!F8</f>
        <v>1E-3</v>
      </c>
      <c r="M10" s="26">
        <f>'Коэф. удорож. стоим. ЖКУ'!C9</f>
        <v>3.7050000000000001</v>
      </c>
      <c r="N10" s="113">
        <f t="shared" si="2"/>
        <v>4.0000000000000001E-3</v>
      </c>
      <c r="O10" s="112">
        <f>'Удельный вес расходов'!H8</f>
        <v>0.16800000000000001</v>
      </c>
      <c r="P10" s="26">
        <f>'Коэф. благоустройства'!H9</f>
        <v>1.2501971361919317</v>
      </c>
      <c r="Q10" s="113">
        <f t="shared" si="3"/>
        <v>0.21</v>
      </c>
      <c r="R10" s="112">
        <f>'Удельный вес расходов'!K8</f>
        <v>0</v>
      </c>
      <c r="S10" s="26">
        <f>'Коэф. структ. жил. фонда'!F10</f>
        <v>3.1379999999999999</v>
      </c>
      <c r="T10" s="113">
        <f t="shared" si="4"/>
        <v>0</v>
      </c>
      <c r="U10" s="112">
        <f>'Удельный вес расходов'!L8</f>
        <v>5.0000000000000001E-3</v>
      </c>
      <c r="V10" s="26">
        <f>'Коэф. концентр. населения'!D11</f>
        <v>1</v>
      </c>
      <c r="W10" s="26">
        <f>'Коэф. урбанизации'!E10</f>
        <v>1</v>
      </c>
      <c r="X10" s="113">
        <f t="shared" si="5"/>
        <v>5.0000000000000001E-3</v>
      </c>
      <c r="Y10" s="26">
        <f t="shared" ref="Y10:Y13" si="6">ROUND(F10+K10+N10+Q10+T10+X10,3)</f>
        <v>12.385999999999999</v>
      </c>
    </row>
    <row r="11" spans="1:26" x14ac:dyDescent="0.25">
      <c r="A11" s="1" t="s">
        <v>16</v>
      </c>
      <c r="B11" s="112">
        <f>'Удельный вес расходов'!B9</f>
        <v>0.64700000000000002</v>
      </c>
      <c r="C11" s="26">
        <f>'Коэф. удорож. стоим. ЖКУ'!C10</f>
        <v>1</v>
      </c>
      <c r="D11" s="26">
        <f>'Коэф. дифференциации зп'!H11</f>
        <v>1.9975540154912355</v>
      </c>
      <c r="E11" s="26">
        <f>'Коэф. трансп. доступности'!H11</f>
        <v>2.778</v>
      </c>
      <c r="F11" s="113">
        <f t="shared" si="0"/>
        <v>3.59</v>
      </c>
      <c r="G11" s="112">
        <f>'Удельный вес расходов'!D9</f>
        <v>9.0999999999999998E-2</v>
      </c>
      <c r="H11" s="26">
        <f>'Коэф. удорож. стоим. ЖКУ'!C10</f>
        <v>1</v>
      </c>
      <c r="I11" s="26">
        <f>'Коэф. дифференциации зп'!H11</f>
        <v>1.9975540154912355</v>
      </c>
      <c r="J11" s="26">
        <f>'Коэф. урбанизации'!E11</f>
        <v>1</v>
      </c>
      <c r="K11" s="113">
        <f t="shared" si="1"/>
        <v>0.182</v>
      </c>
      <c r="L11" s="112">
        <f>'Удельный вес расходов'!F9</f>
        <v>0</v>
      </c>
      <c r="M11" s="26">
        <f>'Коэф. удорож. стоим. ЖКУ'!C10</f>
        <v>1</v>
      </c>
      <c r="N11" s="113">
        <f t="shared" si="2"/>
        <v>0</v>
      </c>
      <c r="O11" s="112">
        <f>'Удельный вес расходов'!H9</f>
        <v>5.0999999999999997E-2</v>
      </c>
      <c r="P11" s="26">
        <f>'Коэф. благоустройства'!H10</f>
        <v>1.1947025210688065</v>
      </c>
      <c r="Q11" s="113">
        <f t="shared" si="3"/>
        <v>6.0999999999999999E-2</v>
      </c>
      <c r="R11" s="112">
        <f>'Удельный вес расходов'!J9</f>
        <v>0</v>
      </c>
      <c r="S11" s="26">
        <f>'Коэф. структ. жил. фонда'!F11</f>
        <v>12.785</v>
      </c>
      <c r="T11" s="113">
        <f t="shared" si="4"/>
        <v>0</v>
      </c>
      <c r="U11" s="112">
        <f>'Удельный вес расходов'!L9</f>
        <v>0.21199999999999999</v>
      </c>
      <c r="V11" s="26">
        <f>'Коэф. концентр. населения'!D12</f>
        <v>1</v>
      </c>
      <c r="W11" s="26">
        <f>'Коэф. урбанизации'!E11</f>
        <v>1</v>
      </c>
      <c r="X11" s="113">
        <f t="shared" si="5"/>
        <v>0.21199999999999999</v>
      </c>
      <c r="Y11" s="26">
        <f t="shared" si="6"/>
        <v>4.0449999999999999</v>
      </c>
    </row>
    <row r="12" spans="1:26" x14ac:dyDescent="0.25">
      <c r="A12" s="1" t="s">
        <v>17</v>
      </c>
      <c r="B12" s="112">
        <f>'Удельный вес расходов'!B10</f>
        <v>0.81</v>
      </c>
      <c r="C12" s="26">
        <f>'Коэф. удорож. стоим. ЖКУ'!C11</f>
        <v>1</v>
      </c>
      <c r="D12" s="26">
        <f>'Коэф. дифференциации зп'!H12</f>
        <v>1.9975540154912355</v>
      </c>
      <c r="E12" s="26">
        <f>'Коэф. трансп. доступности'!H12</f>
        <v>0.82899999999999996</v>
      </c>
      <c r="F12" s="113">
        <f t="shared" si="0"/>
        <v>1.341</v>
      </c>
      <c r="G12" s="112">
        <f>'Удельный вес расходов'!D10</f>
        <v>0.11700000000000001</v>
      </c>
      <c r="H12" s="26">
        <f>'Коэф. удорож. стоим. ЖКУ'!C11</f>
        <v>1</v>
      </c>
      <c r="I12" s="26">
        <f>'Коэф. дифференциации зп'!H12</f>
        <v>1.9975540154912355</v>
      </c>
      <c r="J12" s="26">
        <f>'Коэф. урбанизации'!E12</f>
        <v>1</v>
      </c>
      <c r="K12" s="113">
        <f t="shared" si="1"/>
        <v>0.23400000000000001</v>
      </c>
      <c r="L12" s="112">
        <f>'Удельный вес расходов'!F10</f>
        <v>0</v>
      </c>
      <c r="M12" s="26">
        <f>'Коэф. удорож. стоим. ЖКУ'!C11</f>
        <v>1</v>
      </c>
      <c r="N12" s="113">
        <f t="shared" si="2"/>
        <v>0</v>
      </c>
      <c r="O12" s="112">
        <f>'Удельный вес расходов'!H10</f>
        <v>5.8000000000000003E-2</v>
      </c>
      <c r="P12" s="26">
        <f>'Коэф. благоустройства'!H11</f>
        <v>1.2286589143665645</v>
      </c>
      <c r="Q12" s="113">
        <f t="shared" si="3"/>
        <v>7.0999999999999994E-2</v>
      </c>
      <c r="R12" s="112">
        <f>'Удельный вес расходов'!J10</f>
        <v>0</v>
      </c>
      <c r="S12" s="26">
        <f>'Коэф. структ. жил. фонда'!F12</f>
        <v>3.1789999999999998</v>
      </c>
      <c r="T12" s="113">
        <f t="shared" si="4"/>
        <v>0</v>
      </c>
      <c r="U12" s="112">
        <f>'Удельный вес расходов'!L10</f>
        <v>1.4E-2</v>
      </c>
      <c r="V12" s="26">
        <f>'Коэф. концентр. населения'!D13</f>
        <v>1.198</v>
      </c>
      <c r="W12" s="26">
        <f>'Коэф. урбанизации'!E12</f>
        <v>1</v>
      </c>
      <c r="X12" s="113">
        <f t="shared" si="5"/>
        <v>1.7000000000000001E-2</v>
      </c>
      <c r="Y12" s="26">
        <f>ROUND(F12+K12+N12+Q12+T12+X12,3)</f>
        <v>1.663</v>
      </c>
    </row>
    <row r="13" spans="1:26" x14ac:dyDescent="0.25">
      <c r="A13" s="10"/>
      <c r="B13" s="112">
        <f>'Удельный вес расходов'!B11</f>
        <v>0.433</v>
      </c>
      <c r="C13" s="26">
        <f>'Коэф. удорож. стоим. ЖКУ'!C12</f>
        <v>1</v>
      </c>
      <c r="D13" s="26">
        <f>'Коэф. дифференциации зп'!H13</f>
        <v>1.1292684044440291</v>
      </c>
      <c r="E13" s="26">
        <f>'Коэф. трансп. доступности'!H13</f>
        <v>2</v>
      </c>
      <c r="F13" s="113">
        <f t="shared" si="0"/>
        <v>0.97799999999999998</v>
      </c>
      <c r="G13" s="112">
        <f>'Удельный вес расходов'!D11</f>
        <v>0.23699999999999999</v>
      </c>
      <c r="H13" s="26">
        <f>'Коэф. удорож. стоим. ЖКУ'!C12</f>
        <v>1</v>
      </c>
      <c r="I13" s="26">
        <f>'Коэф. дифференциации зп'!H13</f>
        <v>1.1292684044440291</v>
      </c>
      <c r="J13" s="26">
        <f>'Коэф. урбанизации'!E13</f>
        <v>1</v>
      </c>
      <c r="K13" s="113">
        <f t="shared" si="1"/>
        <v>0.26800000000000002</v>
      </c>
      <c r="L13" s="112">
        <f>'Удельный вес расходов'!F11</f>
        <v>5.6000000000000001E-2</v>
      </c>
      <c r="M13" s="26">
        <f>'Коэф. удорож. стоим. ЖКУ'!C12</f>
        <v>1</v>
      </c>
      <c r="N13" s="113">
        <f t="shared" si="2"/>
        <v>5.6000000000000001E-2</v>
      </c>
      <c r="O13" s="112">
        <f>'Удельный вес расходов'!H11</f>
        <v>0.182</v>
      </c>
      <c r="P13" s="26">
        <f>'Коэф. благоустройства'!H12</f>
        <v>0</v>
      </c>
      <c r="Q13" s="113">
        <f t="shared" si="3"/>
        <v>0</v>
      </c>
      <c r="R13" s="112">
        <f>'Удельный вес расходов'!J11</f>
        <v>1.2999999999999999E-2</v>
      </c>
      <c r="S13" s="26">
        <f>'Коэф. структ. жил. фонда'!F13</f>
        <v>0</v>
      </c>
      <c r="T13" s="113">
        <f t="shared" si="4"/>
        <v>0</v>
      </c>
      <c r="U13" s="112">
        <f>'Удельный вес расходов'!L11</f>
        <v>0.08</v>
      </c>
      <c r="V13" s="26">
        <f>'Коэф. концентр. населения'!D14</f>
        <v>1.0123047145029724</v>
      </c>
      <c r="W13" s="26">
        <f>'Коэф. урбанизации'!E13</f>
        <v>1</v>
      </c>
      <c r="X13" s="113">
        <f t="shared" si="5"/>
        <v>8.1000000000000003E-2</v>
      </c>
      <c r="Y13" s="26">
        <f t="shared" si="6"/>
        <v>1.383</v>
      </c>
      <c r="Z13" s="9"/>
    </row>
    <row r="15" spans="1:26" x14ac:dyDescent="0.25">
      <c r="F15" s="9"/>
    </row>
  </sheetData>
  <mergeCells count="10">
    <mergeCell ref="A1:Y1"/>
    <mergeCell ref="A2:Y2"/>
    <mergeCell ref="U4:X4"/>
    <mergeCell ref="Y4:Y5"/>
    <mergeCell ref="A4:A5"/>
    <mergeCell ref="B4:F4"/>
    <mergeCell ref="G4:K4"/>
    <mergeCell ref="L4:N4"/>
    <mergeCell ref="O4:Q4"/>
    <mergeCell ref="R4:T4"/>
  </mergeCells>
  <phoneticPr fontId="0" type="noConversion"/>
  <pageMargins left="0.39370078740157483" right="0.39370078740157483" top="0.98425196850393704" bottom="0.98425196850393704" header="0.31496062992125984" footer="0.31496062992125984"/>
  <pageSetup paperSize="9" scale="44" firstPageNumber="104" orientation="landscape" useFirstPageNumber="1" r:id="rId1"/>
  <headerFooter scaleWithDoc="0">
    <oddFooter xml:space="preserve">&amp;C&amp;"Times New Roman,обычный"&amp;12&amp;P&amp;"Arial,обычный"&amp;10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15"/>
  <sheetViews>
    <sheetView view="pageLayout" zoomScaleNormal="100" workbookViewId="0">
      <selection activeCell="B37" sqref="B37"/>
    </sheetView>
  </sheetViews>
  <sheetFormatPr defaultRowHeight="18.75" x14ac:dyDescent="0.3"/>
  <cols>
    <col min="1" max="1" width="27.140625" style="4" customWidth="1"/>
    <col min="2" max="2" width="32.140625" style="4" customWidth="1"/>
    <col min="3" max="3" width="26" style="4" customWidth="1"/>
    <col min="4" max="16384" width="9.140625" style="4"/>
  </cols>
  <sheetData>
    <row r="1" spans="1:6" s="228" customFormat="1" x14ac:dyDescent="0.3">
      <c r="A1" s="226" t="s">
        <v>0</v>
      </c>
      <c r="B1" s="227"/>
      <c r="C1" s="227"/>
      <c r="D1" s="101"/>
    </row>
    <row r="2" spans="1:6" s="228" customFormat="1" x14ac:dyDescent="0.3">
      <c r="A2" s="226" t="s">
        <v>81</v>
      </c>
      <c r="B2" s="227"/>
      <c r="C2" s="227"/>
      <c r="D2" s="229"/>
      <c r="E2" s="230"/>
      <c r="F2" s="230"/>
    </row>
    <row r="3" spans="1:6" x14ac:dyDescent="0.3">
      <c r="A3" s="211" t="s">
        <v>32</v>
      </c>
      <c r="B3" s="211"/>
      <c r="C3" s="211"/>
      <c r="D3" s="211"/>
    </row>
    <row r="4" spans="1:6" ht="99" customHeight="1" x14ac:dyDescent="0.3">
      <c r="A4" s="81" t="s">
        <v>120</v>
      </c>
      <c r="B4" s="81" t="s">
        <v>122</v>
      </c>
      <c r="C4" s="81" t="s">
        <v>121</v>
      </c>
      <c r="D4" s="8"/>
      <c r="E4" s="6"/>
      <c r="F4" s="6"/>
    </row>
    <row r="5" spans="1:6" s="123" customFormat="1" x14ac:dyDescent="0.3">
      <c r="A5" s="121">
        <v>1</v>
      </c>
      <c r="B5" s="121">
        <v>2</v>
      </c>
      <c r="C5" s="121">
        <v>3</v>
      </c>
      <c r="D5" s="58"/>
      <c r="E5" s="122"/>
      <c r="F5" s="122"/>
    </row>
    <row r="6" spans="1:6" ht="24" customHeight="1" x14ac:dyDescent="0.3">
      <c r="A6" s="1" t="s">
        <v>12</v>
      </c>
      <c r="B6" s="76">
        <v>3607.12</v>
      </c>
      <c r="C6" s="159">
        <f>ROUND(B6/B12,3)</f>
        <v>0.82399999999999995</v>
      </c>
      <c r="D6" s="8"/>
      <c r="E6" s="7"/>
      <c r="F6" s="5"/>
    </row>
    <row r="7" spans="1:6" ht="24" customHeight="1" x14ac:dyDescent="0.3">
      <c r="A7" s="1" t="s">
        <v>13</v>
      </c>
      <c r="B7" s="76">
        <v>5708.62</v>
      </c>
      <c r="C7" s="159">
        <f>ROUND(B7/B12,3)</f>
        <v>1.3049999999999999</v>
      </c>
      <c r="D7" s="8"/>
      <c r="E7" s="7"/>
      <c r="F7" s="5"/>
    </row>
    <row r="8" spans="1:6" ht="24" customHeight="1" x14ac:dyDescent="0.3">
      <c r="A8" s="1" t="s">
        <v>14</v>
      </c>
      <c r="B8" s="76">
        <v>6940.44</v>
      </c>
      <c r="C8" s="159">
        <f>ROUND(B8/B12,3)</f>
        <v>1.5860000000000001</v>
      </c>
      <c r="D8" s="8"/>
      <c r="E8" s="7"/>
      <c r="F8" s="5"/>
    </row>
    <row r="9" spans="1:6" ht="24" customHeight="1" x14ac:dyDescent="0.3">
      <c r="A9" s="1" t="s">
        <v>15</v>
      </c>
      <c r="B9" s="76">
        <v>16209.92</v>
      </c>
      <c r="C9" s="159">
        <f>ROUND(B9/B12,3)</f>
        <v>3.7050000000000001</v>
      </c>
      <c r="D9" s="8"/>
      <c r="E9" s="7"/>
      <c r="F9" s="5"/>
    </row>
    <row r="10" spans="1:6" ht="24" customHeight="1" x14ac:dyDescent="0.3">
      <c r="A10" s="1" t="s">
        <v>16</v>
      </c>
      <c r="B10" s="98">
        <v>4375.1899999999996</v>
      </c>
      <c r="C10" s="159">
        <f>ROUND(B10/B12,3)</f>
        <v>1</v>
      </c>
      <c r="D10" s="8"/>
      <c r="E10" s="7"/>
      <c r="F10" s="5"/>
    </row>
    <row r="11" spans="1:6" ht="24" customHeight="1" x14ac:dyDescent="0.3">
      <c r="A11" s="1" t="s">
        <v>17</v>
      </c>
      <c r="B11" s="98">
        <v>4375.1899999999996</v>
      </c>
      <c r="C11" s="159">
        <f>ROUND(B11/B12,3)</f>
        <v>1</v>
      </c>
      <c r="D11" s="8"/>
      <c r="E11" s="7"/>
      <c r="F11" s="5"/>
    </row>
    <row r="12" spans="1:6" ht="24" customHeight="1" x14ac:dyDescent="0.3">
      <c r="A12" s="100" t="s">
        <v>20</v>
      </c>
      <c r="B12" s="98">
        <v>4375.1899999999996</v>
      </c>
      <c r="C12" s="160">
        <v>1</v>
      </c>
      <c r="D12" s="99"/>
      <c r="E12" s="5"/>
      <c r="F12" s="5"/>
    </row>
    <row r="13" spans="1:6" x14ac:dyDescent="0.3">
      <c r="A13" s="2"/>
      <c r="B13" s="2"/>
      <c r="C13" s="2"/>
      <c r="D13" s="56"/>
    </row>
    <row r="14" spans="1:6" x14ac:dyDescent="0.3">
      <c r="A14" s="38" t="s">
        <v>45</v>
      </c>
      <c r="B14" s="2"/>
      <c r="C14" s="2"/>
      <c r="D14" s="2"/>
    </row>
    <row r="15" spans="1:6" ht="54.75" customHeight="1" x14ac:dyDescent="0.3">
      <c r="A15" s="212" t="s">
        <v>46</v>
      </c>
      <c r="B15" s="213"/>
      <c r="C15" s="213"/>
      <c r="D15" s="2"/>
    </row>
  </sheetData>
  <mergeCells count="4">
    <mergeCell ref="A2:C2"/>
    <mergeCell ref="A3:D3"/>
    <mergeCell ref="A15:C15"/>
    <mergeCell ref="A1:C1"/>
  </mergeCells>
  <pageMargins left="0.70866141732283472" right="0.70866141732283472" top="0.74803149606299213" bottom="0.74803149606299213" header="0.31496062992125984" footer="0.31496062992125984"/>
  <pageSetup paperSize="9" firstPageNumber="105" orientation="portrait" useFirstPageNumber="1" r:id="rId1"/>
  <headerFooter scaleWithDoc="0">
    <oddFooter xml:space="preserve">&amp;C&amp;"Times New Roman,обычный"&amp;12&amp;P&amp;"Arial,обычный"&amp;10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4"/>
  <sheetViews>
    <sheetView view="pageLayout" zoomScaleNormal="100" workbookViewId="0">
      <selection activeCell="C17" sqref="C17"/>
    </sheetView>
  </sheetViews>
  <sheetFormatPr defaultRowHeight="18.75" x14ac:dyDescent="0.3"/>
  <cols>
    <col min="1" max="1" width="30" style="40" customWidth="1"/>
    <col min="2" max="2" width="17.85546875" style="40" customWidth="1"/>
    <col min="3" max="3" width="26.85546875" style="40" customWidth="1"/>
    <col min="4" max="4" width="25.7109375" style="40" customWidth="1"/>
    <col min="5" max="5" width="25.42578125" style="40" customWidth="1"/>
    <col min="6" max="16384" width="9.140625" style="40"/>
  </cols>
  <sheetData>
    <row r="1" spans="1:5" x14ac:dyDescent="0.3">
      <c r="A1" s="231" t="s">
        <v>0</v>
      </c>
      <c r="B1" s="231"/>
      <c r="C1" s="231"/>
      <c r="D1" s="231"/>
      <c r="E1" s="231"/>
    </row>
    <row r="2" spans="1:5" ht="22.5" customHeight="1" x14ac:dyDescent="0.3">
      <c r="A2" s="232" t="s">
        <v>82</v>
      </c>
      <c r="B2" s="232"/>
      <c r="C2" s="232"/>
      <c r="D2" s="232"/>
      <c r="E2" s="232"/>
    </row>
    <row r="3" spans="1:5" ht="106.5" customHeight="1" x14ac:dyDescent="0.3">
      <c r="A3" s="85" t="s">
        <v>18</v>
      </c>
      <c r="B3" s="85" t="s">
        <v>113</v>
      </c>
      <c r="C3" s="85" t="s">
        <v>59</v>
      </c>
      <c r="D3" s="85" t="s">
        <v>111</v>
      </c>
      <c r="E3" s="85" t="s">
        <v>112</v>
      </c>
    </row>
    <row r="4" spans="1:5" x14ac:dyDescent="0.3">
      <c r="A4" s="125">
        <v>1</v>
      </c>
      <c r="B4" s="126">
        <v>2</v>
      </c>
      <c r="C4" s="126">
        <v>3</v>
      </c>
      <c r="D4" s="126">
        <v>4</v>
      </c>
      <c r="E4" s="126">
        <v>5</v>
      </c>
    </row>
    <row r="5" spans="1:5" ht="21" customHeight="1" x14ac:dyDescent="0.3">
      <c r="A5" s="49" t="s">
        <v>12</v>
      </c>
      <c r="B5" s="78">
        <v>6359</v>
      </c>
      <c r="C5" s="78">
        <v>71</v>
      </c>
      <c r="D5" s="157">
        <f t="shared" ref="D5:D11" si="0">C5/B5</f>
        <v>1.1165277559364681E-2</v>
      </c>
      <c r="E5" s="160">
        <f>1+D5</f>
        <v>1.0111652775593647</v>
      </c>
    </row>
    <row r="6" spans="1:5" ht="21" customHeight="1" x14ac:dyDescent="0.3">
      <c r="A6" s="49" t="s">
        <v>13</v>
      </c>
      <c r="B6" s="78">
        <v>230</v>
      </c>
      <c r="C6" s="78">
        <v>230</v>
      </c>
      <c r="D6" s="157">
        <f t="shared" si="0"/>
        <v>1</v>
      </c>
      <c r="E6" s="160">
        <f t="shared" ref="E6:E10" si="1">1+D6</f>
        <v>2</v>
      </c>
    </row>
    <row r="7" spans="1:5" ht="21" customHeight="1" x14ac:dyDescent="0.3">
      <c r="A7" s="49" t="s">
        <v>14</v>
      </c>
      <c r="B7" s="78">
        <v>287</v>
      </c>
      <c r="C7" s="78">
        <v>287</v>
      </c>
      <c r="D7" s="157">
        <f t="shared" si="0"/>
        <v>1</v>
      </c>
      <c r="E7" s="160">
        <f t="shared" si="1"/>
        <v>2</v>
      </c>
    </row>
    <row r="8" spans="1:5" ht="21" customHeight="1" x14ac:dyDescent="0.3">
      <c r="A8" s="49" t="s">
        <v>15</v>
      </c>
      <c r="B8" s="78">
        <v>138</v>
      </c>
      <c r="C8" s="78">
        <v>138</v>
      </c>
      <c r="D8" s="157">
        <f t="shared" si="0"/>
        <v>1</v>
      </c>
      <c r="E8" s="160">
        <f t="shared" si="1"/>
        <v>2</v>
      </c>
    </row>
    <row r="9" spans="1:5" ht="21" customHeight="1" x14ac:dyDescent="0.3">
      <c r="A9" s="49" t="s">
        <v>16</v>
      </c>
      <c r="B9" s="78">
        <v>128</v>
      </c>
      <c r="C9" s="78">
        <v>128</v>
      </c>
      <c r="D9" s="157">
        <f t="shared" si="0"/>
        <v>1</v>
      </c>
      <c r="E9" s="160">
        <f t="shared" si="1"/>
        <v>2</v>
      </c>
    </row>
    <row r="10" spans="1:5" ht="21" customHeight="1" x14ac:dyDescent="0.3">
      <c r="A10" s="49" t="s">
        <v>17</v>
      </c>
      <c r="B10" s="78">
        <v>91</v>
      </c>
      <c r="C10" s="78">
        <v>91</v>
      </c>
      <c r="D10" s="157">
        <f t="shared" si="0"/>
        <v>1</v>
      </c>
      <c r="E10" s="160">
        <f t="shared" si="1"/>
        <v>2</v>
      </c>
    </row>
    <row r="11" spans="1:5" ht="21" customHeight="1" x14ac:dyDescent="0.3">
      <c r="A11" s="55" t="s">
        <v>11</v>
      </c>
      <c r="B11" s="177">
        <f>B5+B6+B7+B8+B9+B10</f>
        <v>7233</v>
      </c>
      <c r="C11" s="177">
        <f>C5+C6+C7+C8+C9+C10</f>
        <v>945</v>
      </c>
      <c r="D11" s="160">
        <f t="shared" si="0"/>
        <v>0.13065118208212359</v>
      </c>
      <c r="E11" s="157">
        <f>1+D11</f>
        <v>1.1306511820821237</v>
      </c>
    </row>
    <row r="12" spans="1:5" x14ac:dyDescent="0.3">
      <c r="A12" s="22"/>
      <c r="B12" s="22"/>
      <c r="C12" s="22"/>
      <c r="D12" s="22"/>
      <c r="E12" s="22"/>
    </row>
    <row r="13" spans="1:5" x14ac:dyDescent="0.3">
      <c r="A13" s="22"/>
      <c r="B13" s="22"/>
      <c r="C13" s="22"/>
      <c r="D13" s="22"/>
      <c r="E13" s="22"/>
    </row>
    <row r="14" spans="1:5" x14ac:dyDescent="0.3">
      <c r="A14" s="91" t="s">
        <v>47</v>
      </c>
      <c r="B14" s="22"/>
      <c r="C14" s="22"/>
      <c r="D14" s="22"/>
      <c r="E14" s="22"/>
    </row>
  </sheetData>
  <mergeCells count="2">
    <mergeCell ref="A1:E1"/>
    <mergeCell ref="A2:E2"/>
  </mergeCells>
  <pageMargins left="0.70866141732283472" right="0.70866141732283472" top="0.74803149606299213" bottom="0.74803149606299213" header="0.31496062992125984" footer="0.31496062992125984"/>
  <pageSetup paperSize="9" firstPageNumber="106" orientation="landscape" useFirstPageNumber="1" r:id="rId1"/>
  <headerFooter scaleWithDoc="0">
    <oddFooter>&amp;C&amp;"Times New Roman,обычный"&amp;12&amp;P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8"/>
  <sheetViews>
    <sheetView view="pageLayout" zoomScaleNormal="100" workbookViewId="0">
      <selection activeCell="B21" sqref="B20:B21"/>
    </sheetView>
  </sheetViews>
  <sheetFormatPr defaultRowHeight="12.75" x14ac:dyDescent="0.2"/>
  <cols>
    <col min="1" max="1" width="23.28515625" style="41" customWidth="1"/>
    <col min="2" max="2" width="14" style="41" customWidth="1"/>
    <col min="3" max="3" width="18.85546875" style="41" customWidth="1"/>
    <col min="4" max="4" width="17" style="41" customWidth="1"/>
    <col min="5" max="5" width="26.5703125" style="41" customWidth="1"/>
    <col min="6" max="6" width="16" style="41" customWidth="1"/>
    <col min="7" max="7" width="17.85546875" style="41" customWidth="1"/>
    <col min="8" max="16384" width="9.140625" style="41"/>
  </cols>
  <sheetData>
    <row r="2" spans="1:8" ht="15.75" x14ac:dyDescent="0.2">
      <c r="A2" s="233" t="s">
        <v>22</v>
      </c>
      <c r="B2" s="234"/>
      <c r="C2" s="234"/>
      <c r="D2" s="234"/>
      <c r="E2" s="234"/>
      <c r="F2" s="234"/>
      <c r="G2" s="234"/>
      <c r="H2" s="84"/>
    </row>
    <row r="3" spans="1:8" ht="15.75" x14ac:dyDescent="0.2">
      <c r="A3" s="233" t="s">
        <v>84</v>
      </c>
      <c r="B3" s="234"/>
      <c r="C3" s="234"/>
      <c r="D3" s="234"/>
      <c r="E3" s="234"/>
      <c r="F3" s="234"/>
      <c r="G3" s="234"/>
      <c r="H3" s="84"/>
    </row>
    <row r="4" spans="1:8" ht="15.75" x14ac:dyDescent="0.2">
      <c r="A4" s="42"/>
      <c r="B4" s="42"/>
      <c r="C4" s="42"/>
      <c r="D4" s="42"/>
      <c r="E4" s="42"/>
      <c r="F4" s="42"/>
      <c r="G4" s="42"/>
      <c r="H4" s="42"/>
    </row>
    <row r="5" spans="1:8" ht="152.25" customHeight="1" x14ac:dyDescent="0.2">
      <c r="A5" s="43" t="s">
        <v>23</v>
      </c>
      <c r="B5" s="43" t="s">
        <v>110</v>
      </c>
      <c r="C5" s="43" t="s">
        <v>60</v>
      </c>
      <c r="D5" s="43" t="s">
        <v>24</v>
      </c>
      <c r="E5" s="43" t="s">
        <v>61</v>
      </c>
      <c r="F5" s="43" t="s">
        <v>25</v>
      </c>
      <c r="G5" s="43" t="s">
        <v>33</v>
      </c>
      <c r="H5" s="42"/>
    </row>
    <row r="6" spans="1:8" ht="15.75" x14ac:dyDescent="0.2">
      <c r="A6" s="127">
        <v>1</v>
      </c>
      <c r="B6" s="128">
        <v>2</v>
      </c>
      <c r="C6" s="128">
        <v>3</v>
      </c>
      <c r="D6" s="128">
        <v>4</v>
      </c>
      <c r="E6" s="128">
        <v>5</v>
      </c>
      <c r="F6" s="128">
        <v>6</v>
      </c>
      <c r="G6" s="128">
        <v>7</v>
      </c>
      <c r="H6" s="42"/>
    </row>
    <row r="7" spans="1:8" ht="21" customHeight="1" x14ac:dyDescent="0.25">
      <c r="A7" s="88" t="s">
        <v>12</v>
      </c>
      <c r="B7" s="78">
        <v>6359</v>
      </c>
      <c r="C7" s="161">
        <v>2.2000000000000002</v>
      </c>
      <c r="D7" s="162">
        <v>0.25</v>
      </c>
      <c r="E7" s="162">
        <f>C7+D7</f>
        <v>2.4500000000000002</v>
      </c>
      <c r="F7" s="163">
        <f>ROUND(B7/$B$13,3)</f>
        <v>0.879</v>
      </c>
      <c r="G7" s="163">
        <f>ROUND(E7*F7,3)</f>
        <v>2.1539999999999999</v>
      </c>
      <c r="H7" s="42"/>
    </row>
    <row r="8" spans="1:8" ht="21" customHeight="1" x14ac:dyDescent="0.25">
      <c r="A8" s="88" t="s">
        <v>13</v>
      </c>
      <c r="B8" s="78">
        <v>230</v>
      </c>
      <c r="C8" s="161">
        <v>2.2000000000000002</v>
      </c>
      <c r="D8" s="162">
        <v>0.25</v>
      </c>
      <c r="E8" s="162">
        <f t="shared" ref="E8:E13" si="0">C8+D8</f>
        <v>2.4500000000000002</v>
      </c>
      <c r="F8" s="163">
        <f t="shared" ref="F8:F12" si="1">ROUND(B8/$B$13,3)</f>
        <v>3.2000000000000001E-2</v>
      </c>
      <c r="G8" s="163">
        <f>ROUND(E8*F8,3)</f>
        <v>7.8E-2</v>
      </c>
      <c r="H8" s="42"/>
    </row>
    <row r="9" spans="1:8" ht="21" customHeight="1" x14ac:dyDescent="0.25">
      <c r="A9" s="88" t="s">
        <v>14</v>
      </c>
      <c r="B9" s="78">
        <v>287</v>
      </c>
      <c r="C9" s="161">
        <v>2.2000000000000002</v>
      </c>
      <c r="D9" s="162">
        <v>0.25</v>
      </c>
      <c r="E9" s="162">
        <f t="shared" si="0"/>
        <v>2.4500000000000002</v>
      </c>
      <c r="F9" s="163">
        <f t="shared" si="1"/>
        <v>0.04</v>
      </c>
      <c r="G9" s="163">
        <f t="shared" ref="G9:G12" si="2">ROUND(E9*F9,3)</f>
        <v>9.8000000000000004E-2</v>
      </c>
      <c r="H9" s="42"/>
    </row>
    <row r="10" spans="1:8" ht="21" customHeight="1" x14ac:dyDescent="0.25">
      <c r="A10" s="88" t="s">
        <v>15</v>
      </c>
      <c r="B10" s="78">
        <v>138</v>
      </c>
      <c r="C10" s="161">
        <v>2.2000000000000002</v>
      </c>
      <c r="D10" s="162">
        <v>0.25</v>
      </c>
      <c r="E10" s="162">
        <f t="shared" si="0"/>
        <v>2.4500000000000002</v>
      </c>
      <c r="F10" s="163">
        <f t="shared" si="1"/>
        <v>1.9E-2</v>
      </c>
      <c r="G10" s="163">
        <f t="shared" si="2"/>
        <v>4.7E-2</v>
      </c>
      <c r="H10" s="42"/>
    </row>
    <row r="11" spans="1:8" ht="21" customHeight="1" x14ac:dyDescent="0.25">
      <c r="A11" s="88" t="s">
        <v>16</v>
      </c>
      <c r="B11" s="78">
        <v>128</v>
      </c>
      <c r="C11" s="161">
        <v>2.2000000000000002</v>
      </c>
      <c r="D11" s="162">
        <v>0.25</v>
      </c>
      <c r="E11" s="162">
        <f t="shared" si="0"/>
        <v>2.4500000000000002</v>
      </c>
      <c r="F11" s="163">
        <f t="shared" si="1"/>
        <v>1.7999999999999999E-2</v>
      </c>
      <c r="G11" s="163">
        <f t="shared" si="2"/>
        <v>4.3999999999999997E-2</v>
      </c>
      <c r="H11" s="42"/>
    </row>
    <row r="12" spans="1:8" ht="21" customHeight="1" x14ac:dyDescent="0.25">
      <c r="A12" s="88" t="s">
        <v>17</v>
      </c>
      <c r="B12" s="78">
        <v>91</v>
      </c>
      <c r="C12" s="161">
        <v>2.2000000000000002</v>
      </c>
      <c r="D12" s="162">
        <v>0.25</v>
      </c>
      <c r="E12" s="162">
        <f t="shared" si="0"/>
        <v>2.4500000000000002</v>
      </c>
      <c r="F12" s="163">
        <f t="shared" si="1"/>
        <v>1.2999999999999999E-2</v>
      </c>
      <c r="G12" s="163">
        <f t="shared" si="2"/>
        <v>3.2000000000000001E-2</v>
      </c>
      <c r="H12" s="42"/>
    </row>
    <row r="13" spans="1:8" ht="21" customHeight="1" x14ac:dyDescent="0.2">
      <c r="A13" s="44" t="s">
        <v>11</v>
      </c>
      <c r="B13" s="176">
        <f>B7+B8+B9+B10+B11+B12</f>
        <v>7233</v>
      </c>
      <c r="C13" s="164">
        <v>2.2000000000000002</v>
      </c>
      <c r="D13" s="162">
        <v>0.25</v>
      </c>
      <c r="E13" s="162">
        <f t="shared" si="0"/>
        <v>2.4500000000000002</v>
      </c>
      <c r="F13" s="163">
        <f>B13/$B$13</f>
        <v>1</v>
      </c>
      <c r="G13" s="163">
        <f>SUM(G7:G12)</f>
        <v>2.4529999999999998</v>
      </c>
      <c r="H13" s="45"/>
    </row>
    <row r="14" spans="1:8" x14ac:dyDescent="0.2">
      <c r="B14" s="46"/>
      <c r="C14" s="46"/>
      <c r="D14" s="46"/>
      <c r="E14" s="46"/>
      <c r="F14" s="46"/>
      <c r="G14" s="46"/>
    </row>
    <row r="15" spans="1:8" x14ac:dyDescent="0.2">
      <c r="F15" s="47"/>
    </row>
    <row r="16" spans="1:8" ht="18.75" x14ac:dyDescent="0.3">
      <c r="A16" s="92" t="s">
        <v>48</v>
      </c>
      <c r="B16" s="90"/>
      <c r="C16" s="90"/>
      <c r="D16" s="90"/>
      <c r="E16" s="90"/>
      <c r="F16" s="90"/>
      <c r="G16" s="90"/>
    </row>
    <row r="17" spans="1:7" x14ac:dyDescent="0.2">
      <c r="A17" s="90"/>
      <c r="B17" s="90"/>
      <c r="C17" s="90"/>
      <c r="D17" s="90"/>
      <c r="E17" s="90"/>
      <c r="F17" s="90"/>
      <c r="G17" s="90"/>
    </row>
    <row r="18" spans="1:7" ht="27.75" customHeight="1" x14ac:dyDescent="0.2">
      <c r="A18" s="214" t="s">
        <v>49</v>
      </c>
      <c r="B18" s="214"/>
      <c r="C18" s="214"/>
      <c r="D18" s="214"/>
      <c r="E18" s="214"/>
      <c r="F18" s="214"/>
      <c r="G18" s="214"/>
    </row>
  </sheetData>
  <mergeCells count="3">
    <mergeCell ref="A18:G18"/>
    <mergeCell ref="A2:G2"/>
    <mergeCell ref="A3:G3"/>
  </mergeCells>
  <pageMargins left="0.70866141732283472" right="0.70866141732283472" top="0.74803149606299213" bottom="0.74803149606299213" header="0.31496062992125984" footer="0.31496062992125984"/>
  <pageSetup paperSize="9" firstPageNumber="107" orientation="landscape" useFirstPageNumber="1" r:id="rId1"/>
  <headerFooter scaleWithDoc="0">
    <oddFooter>&amp;C&amp;"Times New Roman,обычный"&amp;12&amp;P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view="pageLayout" zoomScaleNormal="100" workbookViewId="0">
      <selection activeCell="D35" sqref="D35"/>
    </sheetView>
  </sheetViews>
  <sheetFormatPr defaultRowHeight="18.75" x14ac:dyDescent="0.3"/>
  <cols>
    <col min="1" max="1" width="28" style="40" customWidth="1"/>
    <col min="2" max="2" width="17.28515625" style="40" customWidth="1"/>
    <col min="3" max="3" width="22.85546875" style="40" customWidth="1"/>
    <col min="4" max="4" width="21.5703125" style="40" customWidth="1"/>
    <col min="5" max="5" width="18.42578125" style="40" customWidth="1"/>
    <col min="6" max="6" width="22.28515625" style="40" customWidth="1"/>
    <col min="7" max="7" width="21" style="40" customWidth="1"/>
    <col min="8" max="8" width="28.7109375" style="40" customWidth="1"/>
    <col min="9" max="16384" width="9.140625" style="40"/>
  </cols>
  <sheetData>
    <row r="1" spans="1:8" x14ac:dyDescent="0.3">
      <c r="A1" s="235" t="s">
        <v>0</v>
      </c>
      <c r="B1" s="235"/>
      <c r="C1" s="235"/>
      <c r="D1" s="235"/>
      <c r="E1" s="235"/>
      <c r="F1" s="235"/>
      <c r="G1" s="235"/>
      <c r="H1" s="235"/>
    </row>
    <row r="2" spans="1:8" x14ac:dyDescent="0.3">
      <c r="A2" s="236"/>
      <c r="B2" s="235" t="s">
        <v>83</v>
      </c>
      <c r="C2" s="235"/>
      <c r="D2" s="235"/>
      <c r="E2" s="235"/>
      <c r="F2" s="235"/>
      <c r="G2" s="235"/>
      <c r="H2" s="236"/>
    </row>
    <row r="3" spans="1:8" x14ac:dyDescent="0.3">
      <c r="A3" s="97" t="s">
        <v>31</v>
      </c>
      <c r="B3" s="96"/>
      <c r="C3" s="96"/>
      <c r="D3" s="96"/>
      <c r="E3" s="96"/>
      <c r="F3" s="96"/>
      <c r="G3" s="96"/>
      <c r="H3" s="96"/>
    </row>
    <row r="4" spans="1:8" ht="12.75" customHeight="1" x14ac:dyDescent="0.3">
      <c r="A4" s="215" t="s">
        <v>120</v>
      </c>
      <c r="B4" s="215" t="s">
        <v>118</v>
      </c>
      <c r="C4" s="215" t="s">
        <v>117</v>
      </c>
      <c r="D4" s="215" t="s">
        <v>116</v>
      </c>
      <c r="E4" s="215" t="s">
        <v>119</v>
      </c>
      <c r="F4" s="215" t="s">
        <v>26</v>
      </c>
      <c r="G4" s="215" t="s">
        <v>114</v>
      </c>
      <c r="H4" s="215" t="s">
        <v>115</v>
      </c>
    </row>
    <row r="5" spans="1:8" ht="87" customHeight="1" x14ac:dyDescent="0.3">
      <c r="A5" s="215"/>
      <c r="B5" s="215"/>
      <c r="C5" s="215"/>
      <c r="D5" s="215"/>
      <c r="E5" s="215"/>
      <c r="F5" s="215"/>
      <c r="G5" s="215"/>
      <c r="H5" s="215"/>
    </row>
    <row r="6" spans="1:8" x14ac:dyDescent="0.3">
      <c r="A6" s="125">
        <v>1</v>
      </c>
      <c r="B6" s="126">
        <v>2</v>
      </c>
      <c r="C6" s="126">
        <v>3</v>
      </c>
      <c r="D6" s="126">
        <v>4</v>
      </c>
      <c r="E6" s="126">
        <v>5</v>
      </c>
      <c r="F6" s="126">
        <v>6</v>
      </c>
      <c r="G6" s="126">
        <v>7</v>
      </c>
      <c r="H6" s="126">
        <v>9</v>
      </c>
    </row>
    <row r="7" spans="1:8" ht="21" customHeight="1" x14ac:dyDescent="0.3">
      <c r="A7" s="49" t="s">
        <v>12</v>
      </c>
      <c r="B7" s="78">
        <v>6359</v>
      </c>
      <c r="C7" s="155">
        <f t="shared" ref="C7:C12" si="0">ROUND(B7/B$13,3)</f>
        <v>0.879</v>
      </c>
      <c r="D7" s="156">
        <v>2.2000000000000002</v>
      </c>
      <c r="E7" s="156">
        <v>0.25</v>
      </c>
      <c r="F7" s="156">
        <f>D7+E7</f>
        <v>2.4500000000000002</v>
      </c>
      <c r="G7" s="157">
        <f>'Коэф. на дисперсность'!E5</f>
        <v>1.0111652775593647</v>
      </c>
      <c r="H7" s="157">
        <f>F7*G7/'Средневзв. коэф. по зп'!G13</f>
        <v>1.0099286302570094</v>
      </c>
    </row>
    <row r="8" spans="1:8" ht="21" customHeight="1" x14ac:dyDescent="0.3">
      <c r="A8" s="49" t="s">
        <v>13</v>
      </c>
      <c r="B8" s="78">
        <v>230</v>
      </c>
      <c r="C8" s="155">
        <f t="shared" si="0"/>
        <v>3.2000000000000001E-2</v>
      </c>
      <c r="D8" s="156">
        <v>2.2000000000000002</v>
      </c>
      <c r="E8" s="156">
        <v>0.25</v>
      </c>
      <c r="F8" s="156">
        <f t="shared" ref="F8:F12" si="1">D8+E8</f>
        <v>2.4500000000000002</v>
      </c>
      <c r="G8" s="157">
        <f>'Коэф. на дисперсность'!E6</f>
        <v>2</v>
      </c>
      <c r="H8" s="157">
        <f>F8*G8/'Средневзв. коэф. по зп'!G13</f>
        <v>1.9975540154912355</v>
      </c>
    </row>
    <row r="9" spans="1:8" ht="21" customHeight="1" x14ac:dyDescent="0.3">
      <c r="A9" s="49" t="s">
        <v>14</v>
      </c>
      <c r="B9" s="78">
        <v>287</v>
      </c>
      <c r="C9" s="155">
        <f t="shared" si="0"/>
        <v>0.04</v>
      </c>
      <c r="D9" s="156">
        <v>2.2000000000000002</v>
      </c>
      <c r="E9" s="156">
        <v>0.25</v>
      </c>
      <c r="F9" s="156">
        <f t="shared" si="1"/>
        <v>2.4500000000000002</v>
      </c>
      <c r="G9" s="157">
        <f>'Коэф. на дисперсность'!E7</f>
        <v>2</v>
      </c>
      <c r="H9" s="157">
        <f>F9*G9/'Средневзв. коэф. по зп'!G13</f>
        <v>1.9975540154912355</v>
      </c>
    </row>
    <row r="10" spans="1:8" ht="21" customHeight="1" x14ac:dyDescent="0.3">
      <c r="A10" s="49" t="s">
        <v>15</v>
      </c>
      <c r="B10" s="78">
        <v>138</v>
      </c>
      <c r="C10" s="155">
        <f t="shared" si="0"/>
        <v>1.9E-2</v>
      </c>
      <c r="D10" s="156">
        <v>2.2000000000000002</v>
      </c>
      <c r="E10" s="156">
        <v>0.25</v>
      </c>
      <c r="F10" s="156">
        <f t="shared" si="1"/>
        <v>2.4500000000000002</v>
      </c>
      <c r="G10" s="157">
        <f>'Коэф. на дисперсность'!E8</f>
        <v>2</v>
      </c>
      <c r="H10" s="157">
        <f>F10*G10/'Средневзв. коэф. по зп'!G13</f>
        <v>1.9975540154912355</v>
      </c>
    </row>
    <row r="11" spans="1:8" ht="21" customHeight="1" x14ac:dyDescent="0.3">
      <c r="A11" s="49" t="s">
        <v>16</v>
      </c>
      <c r="B11" s="78">
        <v>128</v>
      </c>
      <c r="C11" s="155">
        <f t="shared" si="0"/>
        <v>1.7999999999999999E-2</v>
      </c>
      <c r="D11" s="156">
        <v>2.2000000000000002</v>
      </c>
      <c r="E11" s="156">
        <v>0.25</v>
      </c>
      <c r="F11" s="156">
        <f t="shared" si="1"/>
        <v>2.4500000000000002</v>
      </c>
      <c r="G11" s="157">
        <f>'Коэф. на дисперсность'!E9</f>
        <v>2</v>
      </c>
      <c r="H11" s="157">
        <f>F11*G11/'Средневзв. коэф. по зп'!G13</f>
        <v>1.9975540154912355</v>
      </c>
    </row>
    <row r="12" spans="1:8" ht="21" customHeight="1" x14ac:dyDescent="0.3">
      <c r="A12" s="49" t="s">
        <v>17</v>
      </c>
      <c r="B12" s="78">
        <v>91</v>
      </c>
      <c r="C12" s="155">
        <f t="shared" si="0"/>
        <v>1.2999999999999999E-2</v>
      </c>
      <c r="D12" s="156">
        <v>2.2000000000000002</v>
      </c>
      <c r="E12" s="156">
        <v>0.25</v>
      </c>
      <c r="F12" s="156">
        <f t="shared" si="1"/>
        <v>2.4500000000000002</v>
      </c>
      <c r="G12" s="157">
        <f>'Коэф. на дисперсность'!E10</f>
        <v>2</v>
      </c>
      <c r="H12" s="157">
        <f>F12*G12/'Средневзв. коэф. по зп'!G13</f>
        <v>1.9975540154912355</v>
      </c>
    </row>
    <row r="13" spans="1:8" ht="21" customHeight="1" x14ac:dyDescent="0.3">
      <c r="A13" s="55" t="s">
        <v>11</v>
      </c>
      <c r="B13" s="178">
        <f>B7+B8+B9+B10+B11+B12</f>
        <v>7233</v>
      </c>
      <c r="C13" s="158">
        <f>SUM(C7:C12)</f>
        <v>1.0010000000000001</v>
      </c>
      <c r="D13" s="156">
        <v>2.2000000000000002</v>
      </c>
      <c r="E13" s="156">
        <v>0.25</v>
      </c>
      <c r="F13" s="156">
        <f>D13+E13</f>
        <v>2.4500000000000002</v>
      </c>
      <c r="G13" s="157">
        <f>'Коэф. на дисперсность'!E11</f>
        <v>1.1306511820821237</v>
      </c>
      <c r="H13" s="157">
        <f>F13*G13/'Средневзв. коэф. по зп'!G13</f>
        <v>1.1292684044440291</v>
      </c>
    </row>
    <row r="14" spans="1:8" x14ac:dyDescent="0.3">
      <c r="A14" s="22"/>
      <c r="B14" s="22"/>
      <c r="C14" s="22"/>
      <c r="D14" s="22"/>
      <c r="E14" s="22"/>
      <c r="F14" s="22"/>
      <c r="G14" s="22"/>
      <c r="H14" s="22"/>
    </row>
    <row r="15" spans="1:8" x14ac:dyDescent="0.3">
      <c r="A15" s="91" t="s">
        <v>30</v>
      </c>
      <c r="B15" s="22"/>
      <c r="C15" s="22"/>
      <c r="D15" s="22"/>
      <c r="E15" s="22"/>
      <c r="F15" s="22"/>
      <c r="G15" s="22"/>
      <c r="H15" s="22"/>
    </row>
  </sheetData>
  <mergeCells count="10">
    <mergeCell ref="G4:G5"/>
    <mergeCell ref="H4:H5"/>
    <mergeCell ref="A1:H1"/>
    <mergeCell ref="B2:G2"/>
    <mergeCell ref="A4:A5"/>
    <mergeCell ref="B4:B5"/>
    <mergeCell ref="C4:C5"/>
    <mergeCell ref="D4:D5"/>
    <mergeCell ref="E4:E5"/>
    <mergeCell ref="F4:F5"/>
  </mergeCells>
  <pageMargins left="0.70866141732283472" right="0.70866141732283472" top="0.74803149606299213" bottom="0.74803149606299213" header="0.31496062992125984" footer="0.31496062992125984"/>
  <pageSetup paperSize="9" scale="68" firstPageNumber="108" orientation="landscape" useFirstPageNumber="1" r:id="rId1"/>
  <headerFooter scaleWithDoc="0">
    <oddFooter>&amp;C&amp;"Times New Roman,обычный"&amp;12&amp;P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view="pageLayout" zoomScaleNormal="100" workbookViewId="0">
      <selection activeCell="H27" sqref="H27"/>
    </sheetView>
  </sheetViews>
  <sheetFormatPr defaultRowHeight="12.75" x14ac:dyDescent="0.2"/>
  <cols>
    <col min="1" max="1" width="19.28515625" style="41" customWidth="1"/>
    <col min="2" max="2" width="18" style="41" customWidth="1"/>
    <col min="3" max="3" width="17" style="41" customWidth="1"/>
    <col min="4" max="4" width="14.7109375" style="41" customWidth="1"/>
    <col min="5" max="6" width="15.7109375" style="41" customWidth="1"/>
    <col min="7" max="7" width="17.28515625" style="41" customWidth="1"/>
    <col min="8" max="8" width="14.42578125" style="41" customWidth="1"/>
    <col min="9" max="10" width="0" style="41" hidden="1" customWidth="1"/>
    <col min="11" max="16384" width="9.140625" style="41"/>
  </cols>
  <sheetData>
    <row r="1" spans="1:10" ht="15.75" x14ac:dyDescent="0.25">
      <c r="A1" s="226" t="s">
        <v>0</v>
      </c>
      <c r="B1" s="226"/>
      <c r="C1" s="226"/>
      <c r="D1" s="226"/>
      <c r="E1" s="226"/>
      <c r="F1" s="226"/>
      <c r="G1" s="226"/>
      <c r="H1" s="226"/>
    </row>
    <row r="2" spans="1:10" ht="15.75" x14ac:dyDescent="0.25">
      <c r="A2" s="226" t="s">
        <v>85</v>
      </c>
      <c r="B2" s="226"/>
      <c r="C2" s="226"/>
      <c r="D2" s="226"/>
      <c r="E2" s="226"/>
      <c r="F2" s="226"/>
      <c r="G2" s="226"/>
      <c r="H2" s="226"/>
    </row>
    <row r="3" spans="1:10" ht="15.75" x14ac:dyDescent="0.25">
      <c r="A3" s="22" t="s">
        <v>34</v>
      </c>
      <c r="B3" s="22"/>
      <c r="C3" s="22"/>
      <c r="D3" s="22"/>
      <c r="E3" s="22"/>
      <c r="F3" s="22"/>
      <c r="G3" s="22"/>
      <c r="H3" s="22"/>
    </row>
    <row r="4" spans="1:10" ht="15.75" x14ac:dyDescent="0.2">
      <c r="A4" s="215" t="s">
        <v>18</v>
      </c>
      <c r="B4" s="215" t="s">
        <v>89</v>
      </c>
      <c r="C4" s="217" t="s">
        <v>90</v>
      </c>
      <c r="D4" s="215" t="s">
        <v>35</v>
      </c>
      <c r="E4" s="217" t="s">
        <v>44</v>
      </c>
      <c r="F4" s="86"/>
      <c r="G4" s="215" t="s">
        <v>43</v>
      </c>
      <c r="H4" s="217" t="s">
        <v>109</v>
      </c>
    </row>
    <row r="5" spans="1:10" ht="95.25" customHeight="1" x14ac:dyDescent="0.2">
      <c r="A5" s="215"/>
      <c r="B5" s="215"/>
      <c r="C5" s="218"/>
      <c r="D5" s="215"/>
      <c r="E5" s="218"/>
      <c r="F5" s="87" t="s">
        <v>40</v>
      </c>
      <c r="G5" s="215"/>
      <c r="H5" s="218"/>
      <c r="I5" s="48" t="s">
        <v>36</v>
      </c>
    </row>
    <row r="6" spans="1:10" ht="15" x14ac:dyDescent="0.25">
      <c r="A6" s="125">
        <v>1</v>
      </c>
      <c r="B6" s="126">
        <v>2</v>
      </c>
      <c r="C6" s="126">
        <v>3</v>
      </c>
      <c r="D6" s="126">
        <v>4</v>
      </c>
      <c r="E6" s="126">
        <v>5</v>
      </c>
      <c r="F6" s="126">
        <v>6</v>
      </c>
      <c r="G6" s="126">
        <v>7</v>
      </c>
      <c r="H6" s="126">
        <v>8</v>
      </c>
    </row>
    <row r="7" spans="1:10" ht="21" customHeight="1" x14ac:dyDescent="0.2">
      <c r="A7" s="49" t="s">
        <v>12</v>
      </c>
      <c r="B7" s="174">
        <f>ROUND(C7/E7,3)</f>
        <v>7.5</v>
      </c>
      <c r="C7" s="50">
        <v>15</v>
      </c>
      <c r="D7" s="165">
        <f>ROUND(B7/$B$13,3)</f>
        <v>0.105</v>
      </c>
      <c r="E7" s="51">
        <v>2</v>
      </c>
      <c r="F7" s="51">
        <v>1</v>
      </c>
      <c r="G7" s="165">
        <f>E7/E13</f>
        <v>0.25</v>
      </c>
      <c r="H7" s="165">
        <f t="shared" ref="H7:H13" si="0">D7+G7</f>
        <v>0.35499999999999998</v>
      </c>
      <c r="I7" s="41">
        <f>B7/F13</f>
        <v>1.25</v>
      </c>
      <c r="J7" s="41">
        <f>B7/I7</f>
        <v>6</v>
      </c>
    </row>
    <row r="8" spans="1:10" ht="21" customHeight="1" x14ac:dyDescent="0.2">
      <c r="A8" s="49" t="s">
        <v>13</v>
      </c>
      <c r="B8" s="174">
        <f t="shared" ref="B8:B12" si="1">ROUND(C8/E8,3)</f>
        <v>45</v>
      </c>
      <c r="C8" s="50">
        <v>45</v>
      </c>
      <c r="D8" s="165">
        <f>B8/B13</f>
        <v>0.62827225130890052</v>
      </c>
      <c r="E8" s="51">
        <v>1</v>
      </c>
      <c r="F8" s="51">
        <v>1</v>
      </c>
      <c r="G8" s="165">
        <f>E8/E13</f>
        <v>0.125</v>
      </c>
      <c r="H8" s="165">
        <f t="shared" si="0"/>
        <v>0.75327225130890052</v>
      </c>
      <c r="I8" s="41">
        <f>B8/F13</f>
        <v>7.5</v>
      </c>
    </row>
    <row r="9" spans="1:10" ht="21" customHeight="1" x14ac:dyDescent="0.2">
      <c r="A9" s="49" t="s">
        <v>14</v>
      </c>
      <c r="B9" s="174">
        <v>90</v>
      </c>
      <c r="C9" s="50">
        <v>90</v>
      </c>
      <c r="D9" s="165">
        <f>ROUND(B9/$B$13,3)</f>
        <v>1.2569999999999999</v>
      </c>
      <c r="E9" s="51">
        <v>1</v>
      </c>
      <c r="F9" s="51">
        <v>1</v>
      </c>
      <c r="G9" s="165">
        <f>E9/E13</f>
        <v>0.125</v>
      </c>
      <c r="H9" s="165">
        <f t="shared" si="0"/>
        <v>1.3819999999999999</v>
      </c>
      <c r="I9" s="41">
        <f>B9/F13</f>
        <v>15</v>
      </c>
    </row>
    <row r="10" spans="1:10" ht="21" customHeight="1" x14ac:dyDescent="0.2">
      <c r="A10" s="49" t="s">
        <v>15</v>
      </c>
      <c r="B10" s="174">
        <f t="shared" si="1"/>
        <v>150</v>
      </c>
      <c r="C10" s="50">
        <v>150</v>
      </c>
      <c r="D10" s="165">
        <f>ROUND(B10/$B$13,3)</f>
        <v>2.0939999999999999</v>
      </c>
      <c r="E10" s="51">
        <v>1</v>
      </c>
      <c r="F10" s="51">
        <v>1</v>
      </c>
      <c r="G10" s="165">
        <f>E10/E13</f>
        <v>0.125</v>
      </c>
      <c r="H10" s="165">
        <f t="shared" si="0"/>
        <v>2.2189999999999999</v>
      </c>
      <c r="I10" s="41">
        <f>B10/F13</f>
        <v>25</v>
      </c>
    </row>
    <row r="11" spans="1:10" ht="21" customHeight="1" x14ac:dyDescent="0.2">
      <c r="A11" s="49" t="s">
        <v>16</v>
      </c>
      <c r="B11" s="174">
        <f t="shared" si="1"/>
        <v>190</v>
      </c>
      <c r="C11" s="50">
        <v>190</v>
      </c>
      <c r="D11" s="165">
        <f>ROUND(B11/$B$13,3)</f>
        <v>2.653</v>
      </c>
      <c r="E11" s="51">
        <v>1</v>
      </c>
      <c r="F11" s="51">
        <v>1</v>
      </c>
      <c r="G11" s="165">
        <f>E11/E13</f>
        <v>0.125</v>
      </c>
      <c r="H11" s="165">
        <f t="shared" si="0"/>
        <v>2.778</v>
      </c>
      <c r="I11" s="41">
        <f>B11/F13</f>
        <v>31.666666666666668</v>
      </c>
    </row>
    <row r="12" spans="1:10" ht="21" customHeight="1" x14ac:dyDescent="0.2">
      <c r="A12" s="49" t="s">
        <v>17</v>
      </c>
      <c r="B12" s="174">
        <f t="shared" si="1"/>
        <v>41.5</v>
      </c>
      <c r="C12" s="50">
        <v>83</v>
      </c>
      <c r="D12" s="165">
        <f>ROUND(B12/$B$13,3)</f>
        <v>0.57899999999999996</v>
      </c>
      <c r="E12" s="51">
        <v>2</v>
      </c>
      <c r="F12" s="51">
        <v>1</v>
      </c>
      <c r="G12" s="165">
        <f>E12/E13</f>
        <v>0.25</v>
      </c>
      <c r="H12" s="165">
        <f t="shared" si="0"/>
        <v>0.82899999999999996</v>
      </c>
      <c r="I12" s="41">
        <f>B12/F13</f>
        <v>6.916666666666667</v>
      </c>
    </row>
    <row r="13" spans="1:10" ht="21" customHeight="1" x14ac:dyDescent="0.25">
      <c r="A13" s="52" t="s">
        <v>21</v>
      </c>
      <c r="B13" s="165">
        <f>C13/E13</f>
        <v>71.625</v>
      </c>
      <c r="C13" s="173">
        <f>SUM(C7:C12)</f>
        <v>573</v>
      </c>
      <c r="D13" s="53">
        <v>1</v>
      </c>
      <c r="E13" s="175">
        <f>E12+E11+E10+E9+E8+E7</f>
        <v>8</v>
      </c>
      <c r="F13" s="175">
        <f>F12+F11+F10+F9+F8+F7</f>
        <v>6</v>
      </c>
      <c r="G13" s="166">
        <v>1</v>
      </c>
      <c r="H13" s="165">
        <f t="shared" si="0"/>
        <v>2</v>
      </c>
      <c r="I13" s="41">
        <f>B13/F13</f>
        <v>11.9375</v>
      </c>
    </row>
    <row r="14" spans="1:10" x14ac:dyDescent="0.2">
      <c r="A14" s="90"/>
      <c r="B14" s="90"/>
      <c r="C14" s="90"/>
      <c r="D14" s="90"/>
      <c r="E14" s="90"/>
      <c r="F14" s="90"/>
      <c r="G14" s="90"/>
      <c r="H14" s="90"/>
    </row>
    <row r="15" spans="1:10" ht="15.75" x14ac:dyDescent="0.25">
      <c r="A15" s="89" t="s">
        <v>41</v>
      </c>
      <c r="B15" s="22"/>
      <c r="C15" s="22"/>
      <c r="D15" s="22"/>
      <c r="E15" s="22"/>
      <c r="F15" s="22"/>
      <c r="G15" s="90"/>
      <c r="H15" s="90"/>
    </row>
    <row r="16" spans="1:10" ht="15.75" x14ac:dyDescent="0.25">
      <c r="A16" s="90"/>
      <c r="B16" s="22"/>
      <c r="C16" s="22"/>
      <c r="D16" s="22"/>
      <c r="E16" s="22"/>
      <c r="F16" s="22"/>
      <c r="G16" s="90"/>
      <c r="H16" s="90"/>
    </row>
    <row r="17" spans="1:8" ht="15.75" customHeight="1" x14ac:dyDescent="0.25">
      <c r="A17" s="216" t="s">
        <v>38</v>
      </c>
      <c r="B17" s="214"/>
      <c r="C17" s="216" t="s">
        <v>37</v>
      </c>
      <c r="D17" s="214"/>
      <c r="E17" s="216" t="s">
        <v>39</v>
      </c>
      <c r="F17" s="216"/>
      <c r="G17" s="22" t="s">
        <v>42</v>
      </c>
      <c r="H17" s="90"/>
    </row>
    <row r="18" spans="1:8" ht="15.75" x14ac:dyDescent="0.25">
      <c r="A18" s="90"/>
      <c r="B18" s="22"/>
      <c r="C18" s="22"/>
      <c r="D18" s="22"/>
      <c r="E18" s="22"/>
      <c r="F18" s="22"/>
      <c r="G18" s="90"/>
      <c r="H18" s="90"/>
    </row>
    <row r="19" spans="1:8" ht="15.75" hidden="1" x14ac:dyDescent="0.25">
      <c r="A19" s="48"/>
      <c r="B19" s="22"/>
      <c r="C19" s="22" t="s">
        <v>50</v>
      </c>
      <c r="D19" s="22"/>
      <c r="E19" s="22" t="s">
        <v>51</v>
      </c>
      <c r="F19" s="22"/>
    </row>
    <row r="20" spans="1:8" ht="15.75" hidden="1" x14ac:dyDescent="0.25">
      <c r="B20" s="22"/>
      <c r="C20" s="22" t="s">
        <v>52</v>
      </c>
      <c r="D20" s="22"/>
      <c r="E20" s="22" t="s">
        <v>53</v>
      </c>
      <c r="F20" s="22"/>
    </row>
    <row r="21" spans="1:8" ht="15.75" x14ac:dyDescent="0.25">
      <c r="B21" s="22"/>
      <c r="C21" s="22"/>
      <c r="D21" s="22"/>
      <c r="E21" s="22"/>
      <c r="F21" s="22"/>
    </row>
    <row r="22" spans="1:8" ht="15.75" x14ac:dyDescent="0.25">
      <c r="B22" s="22"/>
      <c r="C22" s="22"/>
      <c r="D22" s="22"/>
      <c r="E22" s="22"/>
      <c r="F22" s="22"/>
    </row>
    <row r="23" spans="1:8" ht="15.75" x14ac:dyDescent="0.25">
      <c r="B23" s="22"/>
      <c r="C23" s="22"/>
      <c r="D23" s="22"/>
      <c r="E23" s="22"/>
      <c r="F23" s="22"/>
    </row>
  </sheetData>
  <mergeCells count="12">
    <mergeCell ref="A1:H1"/>
    <mergeCell ref="A17:B17"/>
    <mergeCell ref="C17:D17"/>
    <mergeCell ref="E17:F17"/>
    <mergeCell ref="A2:H2"/>
    <mergeCell ref="A4:A5"/>
    <mergeCell ref="B4:B5"/>
    <mergeCell ref="C4:C5"/>
    <mergeCell ref="D4:D5"/>
    <mergeCell ref="E4:E5"/>
    <mergeCell ref="G4:G5"/>
    <mergeCell ref="H4:H5"/>
  </mergeCells>
  <pageMargins left="0.70866141732283472" right="0.70866141732283472" top="0.74803149606299213" bottom="0.74803149606299213" header="0.31496062992125984" footer="0.31496062992125984"/>
  <pageSetup paperSize="9" firstPageNumber="109" orientation="landscape" useFirstPageNumber="1" r:id="rId1"/>
  <headerFooter scaleWithDoc="0">
    <oddFooter>&amp;C&amp;"Times New Roman,обычный"&amp;12&amp;P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view="pageLayout" zoomScaleNormal="100" workbookViewId="0">
      <selection activeCell="A47" sqref="A47"/>
    </sheetView>
  </sheetViews>
  <sheetFormatPr defaultRowHeight="12.75" x14ac:dyDescent="0.2"/>
  <cols>
    <col min="1" max="1" width="19.28515625" style="41" customWidth="1"/>
    <col min="2" max="2" width="15.7109375" style="41" customWidth="1"/>
    <col min="3" max="3" width="15.85546875" style="41" customWidth="1"/>
    <col min="4" max="4" width="15.7109375" style="41" customWidth="1"/>
    <col min="5" max="5" width="14.7109375" style="41" customWidth="1"/>
    <col min="6" max="16384" width="9.140625" style="41"/>
  </cols>
  <sheetData>
    <row r="1" spans="1:5" ht="15.75" x14ac:dyDescent="0.25">
      <c r="A1" s="226" t="s">
        <v>0</v>
      </c>
      <c r="B1" s="226"/>
      <c r="C1" s="226"/>
      <c r="D1" s="226"/>
      <c r="E1" s="226"/>
    </row>
    <row r="2" spans="1:5" ht="15.75" x14ac:dyDescent="0.25">
      <c r="A2" s="226" t="s">
        <v>88</v>
      </c>
      <c r="B2" s="226"/>
      <c r="C2" s="226"/>
      <c r="D2" s="226"/>
      <c r="E2" s="226"/>
    </row>
    <row r="3" spans="1:5" ht="15.75" x14ac:dyDescent="0.25">
      <c r="A3" s="95" t="s">
        <v>58</v>
      </c>
      <c r="B3" s="22"/>
      <c r="C3" s="22"/>
      <c r="D3" s="22"/>
      <c r="E3" s="22"/>
    </row>
    <row r="4" spans="1:5" x14ac:dyDescent="0.2">
      <c r="A4" s="215" t="s">
        <v>18</v>
      </c>
      <c r="B4" s="215" t="s">
        <v>107</v>
      </c>
      <c r="C4" s="219" t="s">
        <v>108</v>
      </c>
      <c r="D4" s="215" t="s">
        <v>86</v>
      </c>
      <c r="E4" s="215" t="s">
        <v>87</v>
      </c>
    </row>
    <row r="5" spans="1:5" ht="54.75" customHeight="1" x14ac:dyDescent="0.2">
      <c r="A5" s="215"/>
      <c r="B5" s="215"/>
      <c r="C5" s="219"/>
      <c r="D5" s="215"/>
      <c r="E5" s="215"/>
    </row>
    <row r="6" spans="1:5" ht="15" x14ac:dyDescent="0.25">
      <c r="A6" s="125">
        <v>1</v>
      </c>
      <c r="B6" s="129">
        <v>2</v>
      </c>
      <c r="C6" s="137">
        <v>3</v>
      </c>
      <c r="D6" s="126">
        <v>4</v>
      </c>
      <c r="E6" s="126">
        <v>5</v>
      </c>
    </row>
    <row r="7" spans="1:5" ht="21" customHeight="1" x14ac:dyDescent="0.2">
      <c r="A7" s="49" t="s">
        <v>12</v>
      </c>
      <c r="B7" s="78">
        <v>6359</v>
      </c>
      <c r="C7" s="138">
        <v>0</v>
      </c>
      <c r="D7" s="165">
        <f>C7/B7</f>
        <v>0</v>
      </c>
      <c r="E7" s="165">
        <f>D7+1</f>
        <v>1</v>
      </c>
    </row>
    <row r="8" spans="1:5" ht="21" customHeight="1" x14ac:dyDescent="0.2">
      <c r="A8" s="49" t="s">
        <v>13</v>
      </c>
      <c r="B8" s="78">
        <v>230</v>
      </c>
      <c r="C8" s="138">
        <v>0</v>
      </c>
      <c r="D8" s="165">
        <f t="shared" ref="D8:D13" si="0">C8/B8</f>
        <v>0</v>
      </c>
      <c r="E8" s="165">
        <f t="shared" ref="E8:E13" si="1">D8+1</f>
        <v>1</v>
      </c>
    </row>
    <row r="9" spans="1:5" ht="21" customHeight="1" x14ac:dyDescent="0.2">
      <c r="A9" s="49" t="s">
        <v>14</v>
      </c>
      <c r="B9" s="78">
        <v>287</v>
      </c>
      <c r="C9" s="138">
        <v>0</v>
      </c>
      <c r="D9" s="165">
        <f t="shared" si="0"/>
        <v>0</v>
      </c>
      <c r="E9" s="165">
        <f t="shared" si="1"/>
        <v>1</v>
      </c>
    </row>
    <row r="10" spans="1:5" ht="21" customHeight="1" x14ac:dyDescent="0.2">
      <c r="A10" s="49" t="s">
        <v>15</v>
      </c>
      <c r="B10" s="78">
        <v>138</v>
      </c>
      <c r="C10" s="138">
        <v>0</v>
      </c>
      <c r="D10" s="165">
        <f t="shared" si="0"/>
        <v>0</v>
      </c>
      <c r="E10" s="165">
        <f t="shared" si="1"/>
        <v>1</v>
      </c>
    </row>
    <row r="11" spans="1:5" ht="21" customHeight="1" x14ac:dyDescent="0.2">
      <c r="A11" s="49" t="s">
        <v>16</v>
      </c>
      <c r="B11" s="78">
        <v>128</v>
      </c>
      <c r="C11" s="138">
        <v>0</v>
      </c>
      <c r="D11" s="165">
        <f t="shared" si="0"/>
        <v>0</v>
      </c>
      <c r="E11" s="165">
        <f t="shared" si="1"/>
        <v>1</v>
      </c>
    </row>
    <row r="12" spans="1:5" ht="21" customHeight="1" x14ac:dyDescent="0.2">
      <c r="A12" s="49" t="s">
        <v>17</v>
      </c>
      <c r="B12" s="78">
        <v>91</v>
      </c>
      <c r="C12" s="138">
        <v>0</v>
      </c>
      <c r="D12" s="165">
        <f t="shared" si="0"/>
        <v>0</v>
      </c>
      <c r="E12" s="165">
        <f t="shared" si="1"/>
        <v>1</v>
      </c>
    </row>
    <row r="13" spans="1:5" ht="21" customHeight="1" x14ac:dyDescent="0.25">
      <c r="A13" s="52" t="s">
        <v>21</v>
      </c>
      <c r="B13" s="172">
        <f>B7+B8+B9+B10+B11+B12</f>
        <v>7233</v>
      </c>
      <c r="C13" s="139">
        <f>SUM(C7:C12)</f>
        <v>0</v>
      </c>
      <c r="D13" s="165">
        <f t="shared" si="0"/>
        <v>0</v>
      </c>
      <c r="E13" s="165">
        <f t="shared" si="1"/>
        <v>1</v>
      </c>
    </row>
  </sheetData>
  <mergeCells count="7">
    <mergeCell ref="A1:E1"/>
    <mergeCell ref="A2:E2"/>
    <mergeCell ref="A4:A5"/>
    <mergeCell ref="B4:B5"/>
    <mergeCell ref="C4:C5"/>
    <mergeCell ref="D4:D5"/>
    <mergeCell ref="E4:E5"/>
  </mergeCells>
  <pageMargins left="0.70866141732283472" right="0.70866141732283472" top="0.74803149606299213" bottom="0.74803149606299213" header="0.31496062992125984" footer="0.31496062992125984"/>
  <pageSetup paperSize="9" firstPageNumber="110" orientation="portrait" useFirstPageNumber="1" r:id="rId1"/>
  <headerFooter scaleWithDoc="0">
    <oddFooter>&amp;C&amp;"Times New Roman,обычный"&amp;12&amp;P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8</vt:i4>
      </vt:variant>
    </vt:vector>
  </HeadingPairs>
  <TitlesOfParts>
    <vt:vector size="20" baseType="lpstr">
      <vt:lpstr>Расчет распред. дотаций СП</vt:lpstr>
      <vt:lpstr>Удельный вес расходов</vt:lpstr>
      <vt:lpstr>Индекс бюджетных расходов</vt:lpstr>
      <vt:lpstr>Коэф. удорож. стоим. ЖКУ</vt:lpstr>
      <vt:lpstr>Коэф. на дисперсность</vt:lpstr>
      <vt:lpstr>Средневзв. коэф. по зп</vt:lpstr>
      <vt:lpstr>Коэф. дифференциации зп</vt:lpstr>
      <vt:lpstr>Коэф. трансп. доступности</vt:lpstr>
      <vt:lpstr>Коэф. урбанизации</vt:lpstr>
      <vt:lpstr>Коэф. благоустройства</vt:lpstr>
      <vt:lpstr>Коэф. структ. жил. фонда</vt:lpstr>
      <vt:lpstr>Коэф. концентр. населения</vt:lpstr>
      <vt:lpstr>'Индекс бюджетных расходов'!Заголовки_для_печати</vt:lpstr>
      <vt:lpstr>'Расчет распред. дотаций СП'!Заголовки_для_печати</vt:lpstr>
      <vt:lpstr>'Коэф. концентр. населения'!Область_печати</vt:lpstr>
      <vt:lpstr>'Коэф. структ. жил. фонда'!Область_печати</vt:lpstr>
      <vt:lpstr>'Коэф. трансп. доступности'!Область_печати</vt:lpstr>
      <vt:lpstr>'Коэф. удорож. стоим. ЖКУ'!Область_печати</vt:lpstr>
      <vt:lpstr>'Расчет распред. дотаций СП'!Область_печати</vt:lpstr>
      <vt:lpstr>'Средневзв. коэф. по зп'!Область_печати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Мария С. Феллер</cp:lastModifiedBy>
  <cp:lastPrinted>2024-11-01T10:31:46Z</cp:lastPrinted>
  <dcterms:created xsi:type="dcterms:W3CDTF">1996-10-08T23:32:33Z</dcterms:created>
  <dcterms:modified xsi:type="dcterms:W3CDTF">2024-11-01T10:31:55Z</dcterms:modified>
</cp:coreProperties>
</file>